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610"/>
  <workbookPr/>
  <mc:AlternateContent xmlns:mc="http://schemas.openxmlformats.org/markup-compatibility/2006">
    <mc:Choice Requires="x15">
      <x15ac:absPath xmlns:x15ac="http://schemas.microsoft.com/office/spreadsheetml/2010/11/ac" url="/Users/ldouglas/Downloads/"/>
    </mc:Choice>
  </mc:AlternateContent>
  <bookViews>
    <workbookView xWindow="1960" yWindow="460" windowWidth="24980" windowHeight="25560" firstSheet="1" activeTab="1"/>
  </bookViews>
  <sheets>
    <sheet name="Facts" sheetId="2" state="hidden" r:id="rId1"/>
    <sheet name="Foundation" sheetId="1" r:id="rId2"/>
    <sheet name="Maintenance" sheetId="3" r:id="rId3"/>
  </sheets>
  <definedNames>
    <definedName name="_xlnm._FilterDatabase" localSheetId="1" hidden="1">Foundation!$B$6:$D$19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1" l="1"/>
  <c r="H8" i="1"/>
  <c r="C9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4" i="1"/>
  <c r="G34" i="1"/>
  <c r="F35" i="1"/>
  <c r="G35" i="1"/>
  <c r="F36" i="1"/>
  <c r="G36" i="1"/>
  <c r="F37" i="1"/>
  <c r="G37" i="1"/>
  <c r="F38" i="1"/>
  <c r="G38" i="1"/>
  <c r="F39" i="1"/>
  <c r="G39" i="1"/>
  <c r="F32" i="1"/>
  <c r="G32" i="1"/>
  <c r="F33" i="1"/>
  <c r="G33" i="1"/>
  <c r="F40" i="1"/>
  <c r="G40" i="1"/>
  <c r="F41" i="1"/>
  <c r="G41" i="1"/>
  <c r="F42" i="1"/>
  <c r="G42" i="1"/>
  <c r="C18" i="1"/>
  <c r="I2" i="2"/>
  <c r="C13" i="1"/>
  <c r="F43" i="1"/>
  <c r="G43" i="1"/>
  <c r="F44" i="1"/>
  <c r="G44" i="1"/>
  <c r="F45" i="1"/>
  <c r="G45" i="1"/>
  <c r="F46" i="1"/>
  <c r="G46" i="1"/>
  <c r="C19" i="1"/>
  <c r="I42" i="1"/>
  <c r="I41" i="1"/>
  <c r="H42" i="1"/>
  <c r="H41" i="1"/>
  <c r="F39" i="3"/>
  <c r="G39" i="3"/>
  <c r="A19" i="2"/>
  <c r="M39" i="3"/>
  <c r="F40" i="3"/>
  <c r="J40" i="3"/>
  <c r="F41" i="3"/>
  <c r="G41" i="3"/>
  <c r="M41" i="3"/>
  <c r="F42" i="3"/>
  <c r="G42" i="3"/>
  <c r="I42" i="3"/>
  <c r="M42" i="3"/>
  <c r="A21" i="2"/>
  <c r="F43" i="3"/>
  <c r="G43" i="3"/>
  <c r="M43" i="3"/>
  <c r="F44" i="3"/>
  <c r="G44" i="3"/>
  <c r="M44" i="3"/>
  <c r="F45" i="3"/>
  <c r="G45" i="3"/>
  <c r="M45" i="3"/>
  <c r="F38" i="3"/>
  <c r="G38" i="3"/>
  <c r="I38" i="3"/>
  <c r="I39" i="3"/>
  <c r="I43" i="3"/>
  <c r="K43" i="3"/>
  <c r="F25" i="3"/>
  <c r="L25" i="3"/>
  <c r="G25" i="3"/>
  <c r="K25" i="3"/>
  <c r="J25" i="3"/>
  <c r="M25" i="3"/>
  <c r="I25" i="3"/>
  <c r="H25" i="3"/>
  <c r="F24" i="3"/>
  <c r="L45" i="3"/>
  <c r="J45" i="3"/>
  <c r="H45" i="3"/>
  <c r="L44" i="3"/>
  <c r="J44" i="3"/>
  <c r="H44" i="3"/>
  <c r="J42" i="1"/>
  <c r="J41" i="1"/>
  <c r="I40" i="1"/>
  <c r="H40" i="1"/>
  <c r="H37" i="1"/>
  <c r="H39" i="1"/>
  <c r="H38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J24" i="1"/>
  <c r="F24" i="1"/>
  <c r="G24" i="1"/>
  <c r="F23" i="1"/>
  <c r="G23" i="1"/>
  <c r="H12" i="1"/>
  <c r="H11" i="1"/>
  <c r="C3" i="2"/>
  <c r="B3" i="2"/>
  <c r="L43" i="3"/>
  <c r="L41" i="3"/>
  <c r="F37" i="3"/>
  <c r="H37" i="3"/>
  <c r="F36" i="3"/>
  <c r="G36" i="3"/>
  <c r="K36" i="3"/>
  <c r="F33" i="3"/>
  <c r="F30" i="3"/>
  <c r="J30" i="3"/>
  <c r="F28" i="3"/>
  <c r="H28" i="3"/>
  <c r="F27" i="3"/>
  <c r="G27" i="3"/>
  <c r="M27" i="3"/>
  <c r="I27" i="3"/>
  <c r="F26" i="3"/>
  <c r="H26" i="3"/>
  <c r="F23" i="3"/>
  <c r="J23" i="3"/>
  <c r="G24" i="3"/>
  <c r="M24" i="3"/>
  <c r="F35" i="3"/>
  <c r="J35" i="3"/>
  <c r="C2" i="2"/>
  <c r="B2" i="2"/>
  <c r="L38" i="3"/>
  <c r="L42" i="3"/>
  <c r="L39" i="3"/>
  <c r="H30" i="3"/>
  <c r="I24" i="1"/>
  <c r="I36" i="1"/>
  <c r="J23" i="1"/>
  <c r="J40" i="1"/>
  <c r="I32" i="1"/>
  <c r="I33" i="1"/>
  <c r="I29" i="1"/>
  <c r="I30" i="1"/>
  <c r="I28" i="1"/>
  <c r="J33" i="1"/>
  <c r="I34" i="1"/>
  <c r="J32" i="1"/>
  <c r="J31" i="1"/>
  <c r="H36" i="3"/>
  <c r="G26" i="3"/>
  <c r="K26" i="3"/>
  <c r="J29" i="1"/>
  <c r="J39" i="1"/>
  <c r="J36" i="1"/>
  <c r="J28" i="1"/>
  <c r="F22" i="1"/>
  <c r="G22" i="1"/>
  <c r="J37" i="1"/>
  <c r="J27" i="1"/>
  <c r="J35" i="1"/>
  <c r="J38" i="1"/>
  <c r="J34" i="1"/>
  <c r="J30" i="1"/>
  <c r="J25" i="1"/>
  <c r="J26" i="1"/>
  <c r="J22" i="1"/>
  <c r="J36" i="3"/>
  <c r="J26" i="3"/>
  <c r="G35" i="3"/>
  <c r="M35" i="3"/>
  <c r="L26" i="3"/>
  <c r="L30" i="3"/>
  <c r="C19" i="2"/>
  <c r="B19" i="2"/>
  <c r="L35" i="3"/>
  <c r="L28" i="3"/>
  <c r="H24" i="3"/>
  <c r="J27" i="3"/>
  <c r="L27" i="3"/>
  <c r="G30" i="3"/>
  <c r="I30" i="3"/>
  <c r="G28" i="3"/>
  <c r="I28" i="3"/>
  <c r="L36" i="3"/>
  <c r="H27" i="3"/>
  <c r="H35" i="3"/>
  <c r="J24" i="3"/>
  <c r="C21" i="2"/>
  <c r="B21" i="2"/>
  <c r="H38" i="3"/>
  <c r="J39" i="3"/>
  <c r="H39" i="3"/>
  <c r="I24" i="3"/>
  <c r="K24" i="3"/>
  <c r="H33" i="3"/>
  <c r="J33" i="3"/>
  <c r="L33" i="3"/>
  <c r="J43" i="3"/>
  <c r="H43" i="3"/>
  <c r="I38" i="1"/>
  <c r="I37" i="1"/>
  <c r="I39" i="1"/>
  <c r="H42" i="3"/>
  <c r="J42" i="3"/>
  <c r="L23" i="3"/>
  <c r="H23" i="3"/>
  <c r="G23" i="3"/>
  <c r="M23" i="3"/>
  <c r="G37" i="3"/>
  <c r="K37" i="3"/>
  <c r="J37" i="3"/>
  <c r="K27" i="3"/>
  <c r="G33" i="3"/>
  <c r="I33" i="3"/>
  <c r="L37" i="3"/>
  <c r="H41" i="3"/>
  <c r="J41" i="3"/>
  <c r="F22" i="3"/>
  <c r="L24" i="3"/>
  <c r="J38" i="3"/>
  <c r="J28" i="3"/>
  <c r="I35" i="1"/>
  <c r="I25" i="1"/>
  <c r="I26" i="1"/>
  <c r="I31" i="1"/>
  <c r="I22" i="1"/>
  <c r="I27" i="1"/>
  <c r="I23" i="1"/>
  <c r="M28" i="3"/>
  <c r="J22" i="3"/>
  <c r="H22" i="3"/>
  <c r="G22" i="3"/>
  <c r="M22" i="3"/>
  <c r="L22" i="3"/>
  <c r="M33" i="3"/>
  <c r="H43" i="1"/>
  <c r="H45" i="1"/>
  <c r="J45" i="1"/>
  <c r="H46" i="1"/>
  <c r="J46" i="1"/>
  <c r="H44" i="1"/>
  <c r="J44" i="1"/>
  <c r="I44" i="1"/>
  <c r="I45" i="1"/>
  <c r="I46" i="1"/>
  <c r="J43" i="1"/>
  <c r="I43" i="1"/>
  <c r="K33" i="3"/>
  <c r="K41" i="3"/>
  <c r="I23" i="3"/>
  <c r="I36" i="3"/>
  <c r="K45" i="3"/>
  <c r="I45" i="3"/>
  <c r="I41" i="3"/>
  <c r="M30" i="3"/>
  <c r="M26" i="3"/>
  <c r="K30" i="3"/>
  <c r="K44" i="3"/>
  <c r="I44" i="3"/>
  <c r="L40" i="3"/>
  <c r="G40" i="3"/>
  <c r="G46" i="3"/>
  <c r="H40" i="3"/>
  <c r="K39" i="3"/>
  <c r="M37" i="3"/>
  <c r="I37" i="3"/>
  <c r="I35" i="3"/>
  <c r="K35" i="3"/>
  <c r="M36" i="3"/>
  <c r="K28" i="3"/>
  <c r="M38" i="3"/>
  <c r="K23" i="3"/>
  <c r="I26" i="3"/>
  <c r="K42" i="3"/>
  <c r="K38" i="3"/>
  <c r="K22" i="3"/>
  <c r="I22" i="3"/>
  <c r="I47" i="1"/>
  <c r="C16" i="1"/>
  <c r="J47" i="1"/>
  <c r="C17" i="1"/>
  <c r="I40" i="3"/>
  <c r="M40" i="3"/>
  <c r="M46" i="3"/>
  <c r="K40" i="3"/>
  <c r="K46" i="3"/>
  <c r="I46" i="3"/>
  <c r="C16" i="3"/>
  <c r="C17" i="3"/>
  <c r="C18" i="3"/>
  <c r="C19" i="3"/>
</calcChain>
</file>

<file path=xl/sharedStrings.xml><?xml version="1.0" encoding="utf-8"?>
<sst xmlns="http://schemas.openxmlformats.org/spreadsheetml/2006/main" count="187" uniqueCount="161">
  <si>
    <t>Area (sq.ft.):</t>
  </si>
  <si>
    <t>SKU</t>
  </si>
  <si>
    <t>Product</t>
  </si>
  <si>
    <t>Total Cost</t>
  </si>
  <si>
    <t>ES35-4</t>
  </si>
  <si>
    <t>ES35 RESTORATION CLEANER 3.78L</t>
  </si>
  <si>
    <t>ES36-4</t>
  </si>
  <si>
    <t>ES36 NANO SUBSTRATE DENSIFIER</t>
  </si>
  <si>
    <t>FNDTN PRP PD 14" 200 GRIT</t>
  </si>
  <si>
    <t>FNDTN PRP PD 14" 400 GRIT</t>
  </si>
  <si>
    <t>FNDTN PRP PD 14" 800 GRIT</t>
  </si>
  <si>
    <t>FNDTN PRP PD 16" 200 GRIT</t>
  </si>
  <si>
    <t>FNDTN PRP PD 16" 400 GRIT</t>
  </si>
  <si>
    <t>FNDTN PRP PD 16" 800 GRIT</t>
  </si>
  <si>
    <t>FNDTN PRP PD 18" 200 GRIT</t>
  </si>
  <si>
    <t>FNDTN PRP PD 18" 400 GRIT</t>
  </si>
  <si>
    <t>FNDTN PRP PD 18" 800 GRIT</t>
  </si>
  <si>
    <t>FNDTN PRP PD 20" 200 GRIT</t>
  </si>
  <si>
    <t>FNDTN PRP PD 20" 400 GRIT</t>
  </si>
  <si>
    <t>FNDTN PRP PD 20" 800 GRIT</t>
  </si>
  <si>
    <t>ES37-4</t>
  </si>
  <si>
    <t>ES37 CLNR/MNTNR/POLISH 3.78L</t>
  </si>
  <si>
    <t>Price/unit</t>
  </si>
  <si>
    <t>Total Steps wet</t>
  </si>
  <si>
    <t>Pad Size Burnisher</t>
  </si>
  <si>
    <t>Units Needed</t>
  </si>
  <si>
    <t>Productivity/Unit</t>
  </si>
  <si>
    <t>Starting wet Grit</t>
  </si>
  <si>
    <t>Finishing wet Grit</t>
  </si>
  <si>
    <t>Start</t>
  </si>
  <si>
    <t>End</t>
  </si>
  <si>
    <t>Wet</t>
  </si>
  <si>
    <t>dry</t>
  </si>
  <si>
    <t>Grits</t>
  </si>
  <si>
    <t>Burnisher</t>
  </si>
  <si>
    <t>Cost/clean</t>
  </si>
  <si>
    <t>Cost/burnishing</t>
  </si>
  <si>
    <t>Auto scrubber size</t>
  </si>
  <si>
    <t>Burnisher size</t>
  </si>
  <si>
    <t>Total</t>
  </si>
  <si>
    <t>Burn Freq/year</t>
  </si>
  <si>
    <t>Frequency of burnishing</t>
  </si>
  <si>
    <t>CleanFreq/year</t>
  </si>
  <si>
    <t>CleanFrep/month</t>
  </si>
  <si>
    <t>BurnFreq/month</t>
  </si>
  <si>
    <t>CleanFreq/week</t>
  </si>
  <si>
    <t>BurnFreq/week</t>
  </si>
  <si>
    <t>Cost/year</t>
  </si>
  <si>
    <t>Cost/Month</t>
  </si>
  <si>
    <t>Cost/week</t>
  </si>
  <si>
    <t>Units/clean</t>
  </si>
  <si>
    <t>Units/year</t>
  </si>
  <si>
    <t>Units/month</t>
  </si>
  <si>
    <t>Units/week</t>
  </si>
  <si>
    <t>Optimal Units</t>
  </si>
  <si>
    <t>Optimal Total Cost</t>
  </si>
  <si>
    <t>Enter the information in the light blue highlighted cells.</t>
  </si>
  <si>
    <t>CLNR MNTNR PD 20" 1500 GRIT</t>
  </si>
  <si>
    <t>CLNR MNTNR PD 20" 3000 GRIT</t>
  </si>
  <si>
    <t>CLNR MNTNR PD 27" 800 GRIT</t>
  </si>
  <si>
    <t>CLNR MNTNR PD 27" 1500 GRIT</t>
  </si>
  <si>
    <t>CLNR MNTNR PD 27" 3000 GRIT</t>
  </si>
  <si>
    <t>Yes</t>
  </si>
  <si>
    <t>No</t>
  </si>
  <si>
    <t>Remaining sq.ft.</t>
  </si>
  <si>
    <t>Size of Auto Scrubber</t>
  </si>
  <si>
    <t>CLNR MNTNR PD 14" 800 GRIT</t>
  </si>
  <si>
    <t>CLNR MNTNR PD 14" 1500 GRIT</t>
  </si>
  <si>
    <t>CLNR MNTNR PD 14" 3000 GRIT</t>
  </si>
  <si>
    <t>CLNR MNTNR PD 16" 800 GRIT</t>
  </si>
  <si>
    <t>CLNR MNTNR PD 16" 1500 GRIT</t>
  </si>
  <si>
    <t>CLNR MNTNR PD 16" 3000 GRIT</t>
  </si>
  <si>
    <t>CLNR MNTNR PD 17" 800 GRIT</t>
  </si>
  <si>
    <t>CLNR MNTNR PD 17" 1500 GRIT</t>
  </si>
  <si>
    <t>CLNR MNTNR PD 17" 3000 GRIT</t>
  </si>
  <si>
    <t>CLNR MNTNR PD 18" 800 GRIT</t>
  </si>
  <si>
    <t>CLNR MNTNR PD 18" 1500 GRIT</t>
  </si>
  <si>
    <t>CLNR MNTNR PD 18" 3000 GRIT</t>
  </si>
  <si>
    <t>CLNR MNTNR PD 20" 800 GRIT</t>
  </si>
  <si>
    <t>Burnishing</t>
  </si>
  <si>
    <t>Starting Burnishing Grit</t>
  </si>
  <si>
    <t>Finishing Burnishing Grit</t>
  </si>
  <si>
    <t>Total Burnishing Steps Dry</t>
  </si>
  <si>
    <t>Grits Burn</t>
  </si>
  <si>
    <t>1500 - CMP</t>
  </si>
  <si>
    <t>Cost/ sq. ft. (OPTIMAL)</t>
  </si>
  <si>
    <t>Auto scrubber Pad/Grit</t>
  </si>
  <si>
    <t>Burnishing pad/grit</t>
  </si>
  <si>
    <t>3000 - CMP</t>
  </si>
  <si>
    <t>FNDTN PRP PD 17" 200 GRIT</t>
  </si>
  <si>
    <t>FNDTN PRP PD 17" 400 GRIT</t>
  </si>
  <si>
    <t>FNDTN PRP PD 20" 1500 GRIT</t>
  </si>
  <si>
    <t>&lt;-- This is the estimated area which could be  completed using what is left of the FPP pads from this purchase.</t>
  </si>
  <si>
    <t>&lt;-- This is the cost per sq.ft. assuming that the materials purchased are never used again.</t>
  </si>
  <si>
    <t>&lt;-- This is the optimal cost per sq.ft which assumes that the materials purchased are used completely.</t>
  </si>
  <si>
    <t>&lt;-- This is the estimated area which could be  completed using what is left of the CMP pads from this purchase.</t>
  </si>
  <si>
    <t>Times Per Week</t>
  </si>
  <si>
    <t>Times Per Month</t>
  </si>
  <si>
    <t>Times Per Year</t>
  </si>
  <si>
    <t>Area (sq. Ft.)</t>
  </si>
  <si>
    <t>Frequency of cleaning</t>
  </si>
  <si>
    <t>Cost/clean/sq. Ft.</t>
  </si>
  <si>
    <t>Cost/burnishing/sq. Ft.</t>
  </si>
  <si>
    <t>Cost/ sq. Ft. (1 TIME USE)</t>
  </si>
  <si>
    <t>Remaining sq. Ft. FPP</t>
  </si>
  <si>
    <t>Remaining sq. Ft. CMP</t>
  </si>
  <si>
    <t>Auto scrubber</t>
  </si>
  <si>
    <t>Auto scrubber Maintenance</t>
  </si>
  <si>
    <t>FNDTN PRP PD 17" 800 GRIT</t>
  </si>
  <si>
    <t>ES37 CLEANER MAINTAINER POLISHER</t>
  </si>
  <si>
    <t>ES-FPP-14-200</t>
  </si>
  <si>
    <t>ES-FPP-14-400</t>
  </si>
  <si>
    <t>ES-FPP-14-800</t>
  </si>
  <si>
    <t>ES-FPP-16-200</t>
  </si>
  <si>
    <t>ES-FPP-16-400</t>
  </si>
  <si>
    <t>ES-FPP-16-800</t>
  </si>
  <si>
    <t>ES-FPP-17-200</t>
  </si>
  <si>
    <t>ES-FPP-17-400</t>
  </si>
  <si>
    <t>ES-FPP-17-800</t>
  </si>
  <si>
    <t>ES-FPP-18-200</t>
  </si>
  <si>
    <t>ES-FPP-18-400</t>
  </si>
  <si>
    <t>ES-FPP-18-800</t>
  </si>
  <si>
    <t>ES-FPP-20-200</t>
  </si>
  <si>
    <t>ES-FPP-20-400</t>
  </si>
  <si>
    <t>ES-FPP-20-800</t>
  </si>
  <si>
    <t>ES-FPP-20-1500</t>
  </si>
  <si>
    <t>ES-CMP-20-1500</t>
  </si>
  <si>
    <t>ES-CMP-20-3000</t>
  </si>
  <si>
    <t>ES-CMP-27-1500</t>
  </si>
  <si>
    <t>ES-CMP-27-3000</t>
  </si>
  <si>
    <t>ES-CMP-14-800</t>
  </si>
  <si>
    <t>ES-CMP-14-1500</t>
  </si>
  <si>
    <t>ES-CMP-14-3000</t>
  </si>
  <si>
    <t>ES-CMP-16-800</t>
  </si>
  <si>
    <t>ES-CMP-16-1500</t>
  </si>
  <si>
    <t>ES-CMP-16-3000</t>
  </si>
  <si>
    <t>ES-CMP-17-800</t>
  </si>
  <si>
    <t>ES-CMP-17-1500</t>
  </si>
  <si>
    <t>ES-CMP-17-3000</t>
  </si>
  <si>
    <t>ES-CMP-18-800</t>
  </si>
  <si>
    <t>ES-CMP-18-1500</t>
  </si>
  <si>
    <t>ES-CMP-18-3000</t>
  </si>
  <si>
    <t>ES-CMP-27-800</t>
  </si>
  <si>
    <t>Enter the information in the light yellow highlighted cells.</t>
  </si>
  <si>
    <t xml:space="preserve">                                                                   </t>
  </si>
  <si>
    <t xml:space="preserve">Terrazzo/Concrete Floor Cost Calculator - Foundation                                                     </t>
  </si>
  <si>
    <t>Terrazzo/Concrete Floor Cost Calculator - Maintenance</t>
  </si>
  <si>
    <t>ES-FPP-27-1500</t>
  </si>
  <si>
    <t>ES-FPP-27-3000</t>
  </si>
  <si>
    <t>FNDTN PRP PD 27" 1500 GRIT</t>
  </si>
  <si>
    <t>FNDTN PRP PD 27" 3000 GRIT</t>
  </si>
  <si>
    <t>1500 - FPP</t>
  </si>
  <si>
    <t>3000 - FPP</t>
  </si>
  <si>
    <t>ES-CMP-20-800 - Wash</t>
  </si>
  <si>
    <t>ES-CMP-20-1500 - Wash/Burnish</t>
  </si>
  <si>
    <t>ES-CMP-20-3000 - Wash/Burnish</t>
  </si>
  <si>
    <t>ES-FPP-20-800 - Burnish</t>
  </si>
  <si>
    <t>ES-FPP-20-1500 - Burnish</t>
  </si>
  <si>
    <t>ES-FPP-20-3000 - Burnish</t>
  </si>
  <si>
    <t>ES-FPP-20-3000</t>
  </si>
  <si>
    <t>Rev. 02.20.19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</si>
</sst>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00_);[Red]\(&quot;$&quot;#,##0.0000\)"/>
    <numFmt numFmtId="166" formatCode="&quot;$&quot;#,##0.0000"/>
    <numFmt numFmtId="167" formatCode="0.0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2" fontId="0" fillId="0" borderId="2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0" fillId="0" borderId="3" xfId="0" applyBorder="1"/>
    <xf numFmtId="0" fontId="0" fillId="0" borderId="4" xfId="0" applyBorder="1"/>
    <xf numFmtId="0" fontId="0" fillId="0" borderId="9" xfId="0" applyBorder="1"/>
    <xf numFmtId="0" fontId="5" fillId="0" borderId="3" xfId="0" applyFont="1" applyFill="1" applyBorder="1" applyAlignment="1">
      <alignment vertical="center" wrapText="1"/>
    </xf>
    <xf numFmtId="0" fontId="0" fillId="0" borderId="1" xfId="0" applyFont="1" applyFill="1" applyBorder="1" applyAlignment="1" applyProtection="1">
      <alignment vertical="center" wrapText="1"/>
    </xf>
    <xf numFmtId="0" fontId="0" fillId="0" borderId="2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2" fontId="0" fillId="0" borderId="2" xfId="0" applyNumberFormat="1" applyBorder="1"/>
    <xf numFmtId="0" fontId="5" fillId="0" borderId="13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2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2" xfId="0" applyFont="1" applyBorder="1" applyAlignment="1">
      <alignment horizontal="right"/>
    </xf>
    <xf numFmtId="164" fontId="5" fillId="0" borderId="2" xfId="0" applyNumberFormat="1" applyFont="1" applyBorder="1" applyAlignment="1">
      <alignment horizontal="left"/>
    </xf>
    <xf numFmtId="165" fontId="5" fillId="0" borderId="2" xfId="0" applyNumberFormat="1" applyFont="1" applyBorder="1" applyAlignment="1">
      <alignment horizontal="left"/>
    </xf>
    <xf numFmtId="166" fontId="5" fillId="0" borderId="2" xfId="0" applyNumberFormat="1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38" fontId="0" fillId="0" borderId="2" xfId="0" applyNumberFormat="1" applyFont="1" applyFill="1" applyBorder="1" applyAlignment="1" applyProtection="1">
      <alignment horizontal="center" vertical="center" wrapText="1"/>
    </xf>
    <xf numFmtId="40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167" fontId="0" fillId="0" borderId="2" xfId="0" applyNumberFormat="1" applyFont="1" applyBorder="1" applyAlignment="1" applyProtection="1">
      <alignment horizontal="center"/>
    </xf>
    <xf numFmtId="3" fontId="0" fillId="2" borderId="2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1" fontId="0" fillId="0" borderId="0" xfId="0" applyNumberFormat="1" applyFont="1"/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3" xfId="0" applyFont="1" applyFill="1" applyBorder="1"/>
    <xf numFmtId="3" fontId="0" fillId="3" borderId="23" xfId="0" applyNumberFormat="1" applyFont="1" applyFill="1" applyBorder="1" applyAlignment="1" applyProtection="1">
      <alignment horizontal="left"/>
      <protection locked="0"/>
    </xf>
    <xf numFmtId="1" fontId="0" fillId="3" borderId="23" xfId="0" applyNumberFormat="1" applyFont="1" applyFill="1" applyBorder="1" applyAlignment="1" applyProtection="1">
      <alignment horizontal="left"/>
      <protection locked="0"/>
    </xf>
    <xf numFmtId="1" fontId="5" fillId="0" borderId="23" xfId="0" applyNumberFormat="1" applyFont="1" applyBorder="1" applyAlignment="1" applyProtection="1">
      <alignment horizontal="left"/>
    </xf>
    <xf numFmtId="0" fontId="7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0" fontId="5" fillId="4" borderId="24" xfId="0" applyFont="1" applyFill="1" applyBorder="1"/>
    <xf numFmtId="0" fontId="5" fillId="4" borderId="2" xfId="0" applyFont="1" applyFill="1" applyBorder="1"/>
    <xf numFmtId="164" fontId="5" fillId="0" borderId="2" xfId="0" applyNumberFormat="1" applyFont="1" applyBorder="1" applyAlignment="1" applyProtection="1">
      <alignment horizontal="left"/>
    </xf>
    <xf numFmtId="1" fontId="0" fillId="3" borderId="24" xfId="0" applyNumberFormat="1" applyFont="1" applyFill="1" applyBorder="1" applyAlignment="1" applyProtection="1">
      <alignment horizontal="left"/>
      <protection locked="0"/>
    </xf>
    <xf numFmtId="3" fontId="5" fillId="0" borderId="2" xfId="0" applyNumberFormat="1" applyFont="1" applyBorder="1" applyAlignment="1" applyProtection="1">
      <alignment horizontal="left"/>
    </xf>
    <xf numFmtId="0" fontId="0" fillId="0" borderId="0" xfId="0" applyFont="1" applyFill="1"/>
    <xf numFmtId="0" fontId="8" fillId="0" borderId="0" xfId="0" applyFont="1"/>
    <xf numFmtId="0" fontId="0" fillId="0" borderId="0" xfId="0" applyFont="1" applyFill="1" applyBorder="1"/>
    <xf numFmtId="164" fontId="0" fillId="0" borderId="4" xfId="0" applyNumberFormat="1" applyBorder="1" applyAlignment="1" applyProtection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2" fontId="0" fillId="0" borderId="2" xfId="1" applyNumberFormat="1" applyFont="1" applyFill="1" applyBorder="1" applyAlignment="1">
      <alignment horizontal="right" vertical="center" wrapText="1"/>
    </xf>
    <xf numFmtId="0" fontId="0" fillId="0" borderId="25" xfId="0" applyFont="1" applyFill="1" applyBorder="1" applyAlignment="1" applyProtection="1">
      <alignment vertical="center" wrapText="1"/>
    </xf>
    <xf numFmtId="0" fontId="0" fillId="0" borderId="26" xfId="0" applyFont="1" applyFill="1" applyBorder="1" applyAlignment="1" applyProtection="1">
      <alignment vertical="center" wrapText="1"/>
    </xf>
    <xf numFmtId="2" fontId="0" fillId="0" borderId="26" xfId="0" applyNumberFormat="1" applyFont="1" applyFill="1" applyBorder="1" applyAlignment="1">
      <alignment horizontal="right" vertical="center" wrapText="1"/>
    </xf>
    <xf numFmtId="2" fontId="0" fillId="0" borderId="26" xfId="1" applyNumberFormat="1" applyFont="1" applyFill="1" applyBorder="1" applyAlignment="1">
      <alignment horizontal="right" vertical="center" wrapText="1"/>
    </xf>
    <xf numFmtId="0" fontId="0" fillId="0" borderId="28" xfId="0" applyFont="1" applyFill="1" applyBorder="1" applyAlignment="1" applyProtection="1">
      <alignment vertical="center" wrapText="1"/>
    </xf>
    <xf numFmtId="0" fontId="0" fillId="0" borderId="29" xfId="0" applyFont="1" applyFill="1" applyBorder="1" applyAlignment="1" applyProtection="1">
      <alignment vertical="center" wrapText="1"/>
    </xf>
    <xf numFmtId="8" fontId="0" fillId="3" borderId="29" xfId="0" applyNumberFormat="1" applyFont="1" applyFill="1" applyBorder="1" applyAlignment="1" applyProtection="1">
      <alignment horizontal="right" vertical="center" wrapText="1"/>
      <protection locked="0"/>
    </xf>
    <xf numFmtId="2" fontId="0" fillId="0" borderId="29" xfId="1" applyNumberFormat="1" applyFont="1" applyFill="1" applyBorder="1" applyAlignment="1">
      <alignment horizontal="right" vertical="center" wrapText="1"/>
    </xf>
    <xf numFmtId="0" fontId="5" fillId="4" borderId="20" xfId="0" applyFont="1" applyFill="1" applyBorder="1" applyAlignment="1">
      <alignment vertical="center" wrapText="1"/>
    </xf>
    <xf numFmtId="0" fontId="0" fillId="4" borderId="21" xfId="0" applyFont="1" applyFill="1" applyBorder="1" applyAlignment="1">
      <alignment vertical="center"/>
    </xf>
    <xf numFmtId="164" fontId="0" fillId="0" borderId="32" xfId="0" applyNumberFormat="1" applyFont="1" applyBorder="1"/>
    <xf numFmtId="164" fontId="0" fillId="0" borderId="18" xfId="0" applyNumberFormat="1" applyFont="1" applyBorder="1"/>
    <xf numFmtId="164" fontId="0" fillId="0" borderId="18" xfId="0" applyNumberFormat="1" applyFont="1" applyFill="1" applyBorder="1"/>
    <xf numFmtId="164" fontId="0" fillId="0" borderId="33" xfId="0" applyNumberFormat="1" applyFont="1" applyBorder="1"/>
    <xf numFmtId="164" fontId="5" fillId="0" borderId="31" xfId="0" applyNumberFormat="1" applyFont="1" applyBorder="1"/>
    <xf numFmtId="3" fontId="0" fillId="0" borderId="29" xfId="0" applyNumberFormat="1" applyFont="1" applyFill="1" applyBorder="1" applyAlignment="1" applyProtection="1">
      <alignment horizontal="center"/>
    </xf>
    <xf numFmtId="3" fontId="0" fillId="0" borderId="2" xfId="0" applyNumberFormat="1" applyFont="1" applyFill="1" applyBorder="1" applyAlignment="1" applyProtection="1">
      <alignment horizontal="center"/>
    </xf>
    <xf numFmtId="3" fontId="0" fillId="0" borderId="2" xfId="0" applyNumberFormat="1" applyFont="1" applyFill="1" applyBorder="1" applyAlignment="1" applyProtection="1">
      <alignment horizontal="center" vertical="center"/>
    </xf>
    <xf numFmtId="3" fontId="4" fillId="0" borderId="2" xfId="0" applyNumberFormat="1" applyFont="1" applyFill="1" applyBorder="1" applyAlignment="1" applyProtection="1">
      <alignment horizontal="center"/>
    </xf>
    <xf numFmtId="2" fontId="0" fillId="0" borderId="29" xfId="1" applyNumberFormat="1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26" xfId="0" applyNumberFormat="1" applyFont="1" applyFill="1" applyBorder="1" applyAlignment="1">
      <alignment horizontal="center" vertical="center" wrapText="1"/>
    </xf>
    <xf numFmtId="44" fontId="0" fillId="0" borderId="30" xfId="1" applyFont="1" applyBorder="1"/>
    <xf numFmtId="44" fontId="0" fillId="0" borderId="8" xfId="1" applyFont="1" applyBorder="1"/>
    <xf numFmtId="44" fontId="0" fillId="0" borderId="8" xfId="1" applyFont="1" applyBorder="1" applyAlignment="1">
      <alignment vertical="center"/>
    </xf>
    <xf numFmtId="44" fontId="0" fillId="0" borderId="8" xfId="1" applyFont="1" applyFill="1" applyBorder="1"/>
    <xf numFmtId="44" fontId="0" fillId="0" borderId="27" xfId="1" applyFont="1" applyBorder="1"/>
    <xf numFmtId="44" fontId="5" fillId="4" borderId="22" xfId="1" applyFont="1" applyFill="1" applyBorder="1" applyAlignment="1">
      <alignment vertical="center"/>
    </xf>
    <xf numFmtId="44" fontId="0" fillId="0" borderId="2" xfId="1" applyFont="1" applyBorder="1" applyProtection="1"/>
    <xf numFmtId="44" fontId="0" fillId="0" borderId="4" xfId="1" applyFont="1" applyBorder="1" applyProtection="1"/>
    <xf numFmtId="44" fontId="0" fillId="0" borderId="34" xfId="1" applyFont="1" applyBorder="1" applyProtection="1"/>
    <xf numFmtId="44" fontId="5" fillId="0" borderId="35" xfId="1" applyFont="1" applyBorder="1"/>
    <xf numFmtId="44" fontId="0" fillId="0" borderId="9" xfId="1" applyFont="1" applyBorder="1"/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4" fontId="4" fillId="0" borderId="29" xfId="0" applyNumberFormat="1" applyFont="1" applyFill="1" applyBorder="1" applyAlignment="1">
      <alignment horizontal="center"/>
    </xf>
    <xf numFmtId="164" fontId="0" fillId="2" borderId="29" xfId="0" applyNumberFormat="1" applyFont="1" applyFill="1" applyBorder="1" applyAlignment="1" applyProtection="1">
      <alignment horizontal="center" vertical="center" wrapText="1"/>
    </xf>
    <xf numFmtId="38" fontId="0" fillId="0" borderId="29" xfId="0" applyNumberFormat="1" applyFont="1" applyFill="1" applyBorder="1" applyAlignment="1" applyProtection="1">
      <alignment horizontal="center" vertical="center" wrapText="1"/>
    </xf>
    <xf numFmtId="44" fontId="0" fillId="0" borderId="29" xfId="1" applyFont="1" applyBorder="1" applyProtection="1"/>
    <xf numFmtId="40" fontId="0" fillId="0" borderId="29" xfId="0" applyNumberFormat="1" applyFont="1" applyFill="1" applyBorder="1" applyAlignment="1" applyProtection="1">
      <alignment horizontal="center" vertical="center" wrapText="1"/>
    </xf>
    <xf numFmtId="167" fontId="0" fillId="0" borderId="29" xfId="0" applyNumberFormat="1" applyFont="1" applyBorder="1" applyAlignment="1" applyProtection="1">
      <alignment horizontal="center"/>
    </xf>
    <xf numFmtId="4" fontId="0" fillId="0" borderId="29" xfId="0" applyNumberFormat="1" applyFont="1" applyBorder="1" applyAlignment="1" applyProtection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 applyProtection="1">
      <alignment horizontal="center"/>
    </xf>
    <xf numFmtId="0" fontId="5" fillId="0" borderId="3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3.emf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41031</xdr:colOff>
      <xdr:row>0</xdr:row>
      <xdr:rowOff>188058</xdr:rowOff>
    </xdr:from>
    <xdr:to>
      <xdr:col>1</xdr:col>
      <xdr:colOff>1657532</xdr:colOff>
      <xdr:row>1</xdr:row>
      <xdr:rowOff>936026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0131" y="188058"/>
          <a:ext cx="1616501" cy="938468"/>
        </a:xfrm>
        <a:prstGeom prst="rect">
          <a:avLst/>
        </a:prstGeom>
      </xdr:spPr>
    </xdr:pic>
    <xdr:clientData/>
  </xdr:twoCellAnchor>
  <xdr:twoCellAnchor editAs="oneCell">
    <xdr:from>
      <xdr:col>2</xdr:col>
      <xdr:colOff>1706963</xdr:colOff>
      <xdr:row>1</xdr:row>
      <xdr:rowOff>18561</xdr:rowOff>
    </xdr:from>
    <xdr:to>
      <xdr:col>3</xdr:col>
      <xdr:colOff>721332</xdr:colOff>
      <xdr:row>1</xdr:row>
      <xdr:rowOff>880205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83438" y="209061"/>
          <a:ext cx="1338469" cy="861644"/>
        </a:xfrm>
        <a:prstGeom prst="rect">
          <a:avLst/>
        </a:prstGeom>
      </xdr:spPr>
    </xdr:pic>
    <xdr:clientData/>
  </xdr:twoCellAnchor>
  <xdr:twoCellAnchor editAs="oneCell">
    <xdr:from>
      <xdr:col>0</xdr:col>
      <xdr:colOff>468924</xdr:colOff>
      <xdr:row>49</xdr:row>
      <xdr:rowOff>185617</xdr:rowOff>
    </xdr:from>
    <xdr:to>
      <xdr:col>8</xdr:col>
      <xdr:colOff>801566</xdr:colOff>
      <xdr:row>52</xdr:row>
      <xdr:rowOff>19182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8924" y="11244386"/>
          <a:ext cx="8753230" cy="4197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0</xdr:row>
      <xdr:rowOff>187325</xdr:rowOff>
    </xdr:from>
    <xdr:to>
      <xdr:col>1</xdr:col>
      <xdr:colOff>1641901</xdr:colOff>
      <xdr:row>1</xdr:row>
      <xdr:rowOff>935293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6425" y="187325"/>
          <a:ext cx="1616501" cy="938468"/>
        </a:xfrm>
        <a:prstGeom prst="rect">
          <a:avLst/>
        </a:prstGeom>
      </xdr:spPr>
    </xdr:pic>
    <xdr:clientData/>
  </xdr:twoCellAnchor>
  <xdr:twoCellAnchor editAs="oneCell">
    <xdr:from>
      <xdr:col>3</xdr:col>
      <xdr:colOff>177800</xdr:colOff>
      <xdr:row>16</xdr:row>
      <xdr:rowOff>152400</xdr:rowOff>
    </xdr:from>
    <xdr:to>
      <xdr:col>12</xdr:col>
      <xdr:colOff>749055</xdr:colOff>
      <xdr:row>19</xdr:row>
      <xdr:rowOff>619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64200" y="5232400"/>
          <a:ext cx="8753230" cy="419719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1524000</xdr:colOff>
      <xdr:row>1</xdr:row>
      <xdr:rowOff>28575</xdr:rowOff>
    </xdr:from>
    <xdr:to>
      <xdr:col>3</xdr:col>
      <xdr:colOff>843169</xdr:colOff>
      <xdr:row>1</xdr:row>
      <xdr:rowOff>890219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1046646C-32B7-4DCE-AA36-275C9C3A7A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71925" y="219075"/>
          <a:ext cx="1338469" cy="861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A27" sqref="A27"/>
    </sheetView>
  </sheetViews>
  <sheetFormatPr baseColWidth="10" defaultColWidth="8.6640625" defaultRowHeight="15" x14ac:dyDescent="0.2"/>
  <cols>
    <col min="1" max="1" width="15" customWidth="1"/>
    <col min="2" max="2" width="16.5" customWidth="1"/>
    <col min="3" max="3" width="15.5" customWidth="1"/>
    <col min="5" max="5" width="13.5" bestFit="1" customWidth="1"/>
    <col min="6" max="6" width="13.1640625" bestFit="1" customWidth="1"/>
    <col min="7" max="7" width="13.5" bestFit="1" customWidth="1"/>
    <col min="8" max="8" width="12.5" customWidth="1"/>
  </cols>
  <sheetData>
    <row r="1" spans="1:9" ht="30" x14ac:dyDescent="0.2">
      <c r="A1" s="10"/>
      <c r="B1" s="11" t="s">
        <v>29</v>
      </c>
      <c r="C1" s="12" t="s">
        <v>30</v>
      </c>
      <c r="E1" s="32" t="s">
        <v>106</v>
      </c>
      <c r="F1" s="28" t="s">
        <v>107</v>
      </c>
      <c r="G1" s="36" t="s">
        <v>33</v>
      </c>
      <c r="H1" s="36" t="s">
        <v>83</v>
      </c>
    </row>
    <row r="2" spans="1:9" x14ac:dyDescent="0.2">
      <c r="A2" s="13" t="s">
        <v>31</v>
      </c>
      <c r="B2" s="9">
        <f>IF(Foundation!C7=100, 1,IF(Foundation!C7=200,2,IF(Foundation!C7=400,3,IF(Foundation!C7=800,4,IF(Foundation!C7=1500,5,IF(Foundation!C7=3000,6,"Error"))))))</f>
        <v>2</v>
      </c>
      <c r="C2" s="14">
        <f>IF(Foundation!C8=100, 1,IF(Foundation!C8=200,2,IF(Foundation!C8=400,3,IF(Foundation!C8=800,4,IF(Foundation!C8=1500,5,IF(Foundation!C8=3000,6,"Error"))))))</f>
        <v>1</v>
      </c>
      <c r="E2" s="33">
        <v>17</v>
      </c>
      <c r="F2" s="26">
        <v>14</v>
      </c>
      <c r="G2" s="37">
        <v>100</v>
      </c>
      <c r="H2" s="37" t="s">
        <v>151</v>
      </c>
      <c r="I2">
        <f>IF(Foundation!C11=Facts!H2,1,IF(Foundation!C11=Facts!H3,2,IF(Foundation!C11=Facts!H4,3,IF(Foundation!C11=Facts!H5,4))))</f>
        <v>1</v>
      </c>
    </row>
    <row r="3" spans="1:9" ht="16" thickBot="1" x14ac:dyDescent="0.25">
      <c r="A3" s="15" t="s">
        <v>32</v>
      </c>
      <c r="B3" s="16">
        <f>IF(Foundation!C10="yes",IF(Foundation!C11=100, 1,IF(Foundation!C11=200,2,IF(Foundation!C11=400,3,IF(Foundation!C11=800,4,IF(Foundation!C11=1500,5,IF(Foundation!C11=3000,6,0)))))),1)</f>
        <v>0</v>
      </c>
      <c r="C3" s="17">
        <f>IF(Foundation!C10="yes",IF(Foundation!C12=100, 1,IF(Foundation!C12=200,2,IF(Foundation!C12=400,3,IF(Foundation!C12=800,4,IF(Foundation!C12=1500,5,IF(Foundation!C12=3000,6,0)))))),0)</f>
        <v>0</v>
      </c>
      <c r="E3" s="33">
        <v>20</v>
      </c>
      <c r="F3" s="26">
        <v>16</v>
      </c>
      <c r="G3" s="37">
        <v>200</v>
      </c>
      <c r="H3" s="37" t="s">
        <v>152</v>
      </c>
    </row>
    <row r="4" spans="1:9" x14ac:dyDescent="0.2">
      <c r="C4">
        <v>0</v>
      </c>
      <c r="E4" s="33">
        <v>28</v>
      </c>
      <c r="F4" s="23">
        <v>17</v>
      </c>
      <c r="G4" s="37">
        <v>400</v>
      </c>
      <c r="H4" s="37" t="s">
        <v>84</v>
      </c>
    </row>
    <row r="5" spans="1:9" ht="16" thickBot="1" x14ac:dyDescent="0.25">
      <c r="C5" s="29">
        <v>1</v>
      </c>
      <c r="E5" s="33">
        <v>32</v>
      </c>
      <c r="F5" s="26">
        <v>18</v>
      </c>
      <c r="G5" s="37">
        <v>800</v>
      </c>
      <c r="H5" s="37" t="s">
        <v>88</v>
      </c>
    </row>
    <row r="6" spans="1:9" ht="16" thickBot="1" x14ac:dyDescent="0.25">
      <c r="A6" s="25" t="s">
        <v>62</v>
      </c>
      <c r="C6" s="29">
        <v>2</v>
      </c>
      <c r="E6" s="34">
        <v>36</v>
      </c>
      <c r="F6" s="26">
        <v>20</v>
      </c>
      <c r="G6" s="37">
        <v>1500</v>
      </c>
      <c r="H6" s="37"/>
    </row>
    <row r="7" spans="1:9" ht="16" thickBot="1" x14ac:dyDescent="0.25">
      <c r="A7" s="24" t="s">
        <v>63</v>
      </c>
      <c r="C7" s="29">
        <v>3</v>
      </c>
      <c r="E7" s="35" t="s">
        <v>34</v>
      </c>
      <c r="F7" s="26">
        <v>28</v>
      </c>
      <c r="G7" s="38">
        <v>3000</v>
      </c>
      <c r="H7" s="38"/>
    </row>
    <row r="8" spans="1:9" x14ac:dyDescent="0.2">
      <c r="C8" s="29">
        <v>4</v>
      </c>
      <c r="E8" s="33">
        <v>20</v>
      </c>
      <c r="F8" s="26">
        <v>32</v>
      </c>
      <c r="G8" s="7"/>
    </row>
    <row r="9" spans="1:9" ht="16" thickBot="1" x14ac:dyDescent="0.25">
      <c r="A9" s="7"/>
      <c r="B9" s="7"/>
      <c r="C9" s="29">
        <v>5</v>
      </c>
      <c r="E9" s="27">
        <v>27</v>
      </c>
      <c r="F9" s="26">
        <v>34</v>
      </c>
      <c r="G9" s="7"/>
    </row>
    <row r="10" spans="1:9" ht="16" thickBot="1" x14ac:dyDescent="0.25">
      <c r="A10" s="7"/>
      <c r="B10" s="7"/>
      <c r="C10" s="29">
        <v>6</v>
      </c>
      <c r="F10" s="27">
        <v>36</v>
      </c>
      <c r="G10" s="7"/>
    </row>
    <row r="11" spans="1:9" x14ac:dyDescent="0.2">
      <c r="A11" s="7"/>
      <c r="B11" s="7"/>
      <c r="C11" s="29">
        <v>7</v>
      </c>
      <c r="G11" s="29" t="s">
        <v>96</v>
      </c>
    </row>
    <row r="12" spans="1:9" x14ac:dyDescent="0.2">
      <c r="A12" s="7"/>
      <c r="B12" s="7"/>
      <c r="C12" s="29">
        <v>8</v>
      </c>
      <c r="G12" s="30" t="s">
        <v>97</v>
      </c>
    </row>
    <row r="13" spans="1:9" x14ac:dyDescent="0.2">
      <c r="A13" s="7"/>
      <c r="B13" s="7"/>
      <c r="C13" s="29">
        <v>9</v>
      </c>
      <c r="G13" s="30" t="s">
        <v>98</v>
      </c>
    </row>
    <row r="14" spans="1:9" x14ac:dyDescent="0.2">
      <c r="A14" s="7"/>
      <c r="B14" s="7"/>
      <c r="C14" s="29">
        <v>10</v>
      </c>
      <c r="G14" s="8"/>
    </row>
    <row r="15" spans="1:9" x14ac:dyDescent="0.2">
      <c r="A15" s="7"/>
      <c r="B15" s="7"/>
      <c r="C15" s="29">
        <v>11</v>
      </c>
      <c r="G15" s="8"/>
    </row>
    <row r="16" spans="1:9" x14ac:dyDescent="0.2">
      <c r="A16" s="7"/>
      <c r="B16" s="7"/>
      <c r="C16" s="29">
        <v>12</v>
      </c>
      <c r="G16" s="8"/>
    </row>
    <row r="17" spans="1:7" x14ac:dyDescent="0.2">
      <c r="G17" s="8"/>
    </row>
    <row r="18" spans="1:7" x14ac:dyDescent="0.2">
      <c r="A18" s="9" t="s">
        <v>42</v>
      </c>
      <c r="B18" s="9" t="s">
        <v>43</v>
      </c>
      <c r="C18" s="9" t="s">
        <v>45</v>
      </c>
      <c r="G18" s="8"/>
    </row>
    <row r="19" spans="1:7" x14ac:dyDescent="0.2">
      <c r="A19" s="9">
        <f>IF(Maintenance!D9=G11,Maintenance!C9*52,IF(Maintenance!D9=G12,Maintenance!C9*12,IF(Maintenance!D9=G13,Maintenance!C9,0)))</f>
        <v>52</v>
      </c>
      <c r="B19" s="9">
        <f>A19/12</f>
        <v>4.333333333333333</v>
      </c>
      <c r="C19" s="9">
        <f>A19/52</f>
        <v>1</v>
      </c>
      <c r="G19" s="8"/>
    </row>
    <row r="20" spans="1:7" x14ac:dyDescent="0.2">
      <c r="A20" s="9" t="s">
        <v>40</v>
      </c>
      <c r="B20" s="9" t="s">
        <v>44</v>
      </c>
      <c r="C20" s="9" t="s">
        <v>46</v>
      </c>
      <c r="G20" s="8"/>
    </row>
    <row r="21" spans="1:7" x14ac:dyDescent="0.2">
      <c r="A21" s="9">
        <f>IF(Maintenance!D10=G11,Maintenance!C10*52,IF(Maintenance!D10=G12,Maintenance!C10*12,IF(Maintenance!D10=G13,Maintenance!C10,0)))</f>
        <v>0</v>
      </c>
      <c r="B21" s="31">
        <f>A21/12</f>
        <v>0</v>
      </c>
      <c r="C21" s="9">
        <f>A21/52</f>
        <v>0</v>
      </c>
      <c r="G21" s="8"/>
    </row>
    <row r="22" spans="1:7" x14ac:dyDescent="0.2">
      <c r="G22" s="8"/>
    </row>
    <row r="23" spans="1:7" x14ac:dyDescent="0.2">
      <c r="A23" s="6"/>
      <c r="B23" s="6"/>
      <c r="C23" s="6"/>
    </row>
    <row r="24" spans="1:7" x14ac:dyDescent="0.2">
      <c r="A24" s="6"/>
      <c r="B24" s="6"/>
      <c r="C24" s="6"/>
    </row>
    <row r="25" spans="1:7" x14ac:dyDescent="0.2">
      <c r="A25" s="6"/>
      <c r="B25" s="6"/>
      <c r="C25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J49"/>
  <sheetViews>
    <sheetView showGridLines="0" tabSelected="1" workbookViewId="0">
      <selection activeCell="O22" sqref="O22"/>
    </sheetView>
  </sheetViews>
  <sheetFormatPr baseColWidth="10" defaultColWidth="9.1640625" defaultRowHeight="15" x14ac:dyDescent="0.2"/>
  <cols>
    <col min="1" max="1" width="6.33203125" style="1" customWidth="1"/>
    <col min="2" max="2" width="27.83203125" style="1" customWidth="1"/>
    <col min="3" max="3" width="34.83203125" style="1" bestFit="1" customWidth="1"/>
    <col min="4" max="4" width="16.5" style="1" customWidth="1"/>
    <col min="5" max="5" width="9.83203125" style="1" bestFit="1" customWidth="1"/>
    <col min="6" max="6" width="13.5" style="1" bestFit="1" customWidth="1"/>
    <col min="7" max="7" width="15.5" style="1" hidden="1" customWidth="1"/>
    <col min="8" max="8" width="13.5" style="1" hidden="1" customWidth="1"/>
    <col min="9" max="9" width="12.33203125" style="1" customWidth="1"/>
    <col min="10" max="10" width="17.5" style="1" hidden="1" customWidth="1"/>
    <col min="11" max="16384" width="9.1640625" style="1"/>
  </cols>
  <sheetData>
    <row r="2" spans="2:9" ht="75.75" customHeight="1" x14ac:dyDescent="0.2">
      <c r="B2" s="122"/>
      <c r="C2" s="122"/>
      <c r="D2" s="122"/>
      <c r="E2" s="122"/>
      <c r="F2" s="122"/>
      <c r="G2" s="122"/>
      <c r="H2" s="122"/>
      <c r="I2" s="122"/>
    </row>
    <row r="3" spans="2:9" ht="26" x14ac:dyDescent="0.3">
      <c r="B3" s="123" t="s">
        <v>145</v>
      </c>
      <c r="C3" s="123"/>
      <c r="D3" s="123"/>
      <c r="E3" s="123"/>
      <c r="F3" s="123"/>
      <c r="G3" s="123"/>
      <c r="H3" s="123"/>
      <c r="I3" s="123"/>
    </row>
    <row r="4" spans="2:9" ht="15" customHeight="1" x14ac:dyDescent="0.2">
      <c r="B4" s="124" t="s">
        <v>56</v>
      </c>
      <c r="C4" s="124"/>
      <c r="D4" s="124"/>
      <c r="E4" s="124"/>
      <c r="F4" s="124"/>
      <c r="G4" s="124"/>
      <c r="H4" s="124"/>
      <c r="I4" s="124"/>
    </row>
    <row r="5" spans="2:9" ht="18" customHeight="1" x14ac:dyDescent="0.2"/>
    <row r="6" spans="2:9" x14ac:dyDescent="0.2">
      <c r="B6" s="58" t="s">
        <v>0</v>
      </c>
      <c r="C6" s="59">
        <v>100000</v>
      </c>
    </row>
    <row r="7" spans="2:9" x14ac:dyDescent="0.2">
      <c r="B7" s="58" t="s">
        <v>27</v>
      </c>
      <c r="C7" s="60">
        <v>200</v>
      </c>
      <c r="H7" s="1">
        <f>IF(C7=100,1,IF(C7=200,2,IF(C7=400,3,IF(C7=800,4))))</f>
        <v>2</v>
      </c>
    </row>
    <row r="8" spans="2:9" x14ac:dyDescent="0.2">
      <c r="B8" s="58" t="s">
        <v>28</v>
      </c>
      <c r="C8" s="60">
        <v>100</v>
      </c>
      <c r="H8" s="1">
        <f>IF(C8=100,1,IF(C8=200,2,IF(C8=400,3,IF(C8=800,4))))</f>
        <v>1</v>
      </c>
    </row>
    <row r="9" spans="2:9" x14ac:dyDescent="0.2">
      <c r="B9" s="58" t="s">
        <v>23</v>
      </c>
      <c r="C9" s="61">
        <f>H8-H7+1</f>
        <v>0</v>
      </c>
      <c r="D9" s="54"/>
    </row>
    <row r="10" spans="2:9" x14ac:dyDescent="0.2">
      <c r="B10" s="58" t="s">
        <v>79</v>
      </c>
      <c r="C10" s="60" t="s">
        <v>62</v>
      </c>
    </row>
    <row r="11" spans="2:9" x14ac:dyDescent="0.2">
      <c r="B11" s="58" t="s">
        <v>80</v>
      </c>
      <c r="C11" s="60" t="s">
        <v>151</v>
      </c>
      <c r="H11" s="1" t="b">
        <f>IF(C11=800,1,IF(C11=1500,2,IF(C11=3000,3)))</f>
        <v>0</v>
      </c>
    </row>
    <row r="12" spans="2:9" x14ac:dyDescent="0.2">
      <c r="B12" s="58" t="s">
        <v>81</v>
      </c>
      <c r="C12" s="60" t="s">
        <v>88</v>
      </c>
      <c r="H12" s="1" t="b">
        <f>IF(C12=800,1,IF(C12=1500,2,IF(C12=3000,3)))</f>
        <v>0</v>
      </c>
    </row>
    <row r="13" spans="2:9" x14ac:dyDescent="0.2">
      <c r="B13" s="58" t="s">
        <v>82</v>
      </c>
      <c r="C13" s="61">
        <f>IF(C10="No",0,Facts!I4-Facts!I2+1)</f>
        <v>0</v>
      </c>
    </row>
    <row r="14" spans="2:9" x14ac:dyDescent="0.2">
      <c r="B14" s="58" t="s">
        <v>65</v>
      </c>
      <c r="C14" s="60">
        <v>28</v>
      </c>
    </row>
    <row r="15" spans="2:9" x14ac:dyDescent="0.2">
      <c r="B15" s="64" t="s">
        <v>24</v>
      </c>
      <c r="C15" s="67">
        <v>20</v>
      </c>
    </row>
    <row r="16" spans="2:9" x14ac:dyDescent="0.2">
      <c r="B16" s="65" t="s">
        <v>103</v>
      </c>
      <c r="C16" s="66">
        <f>I47/C6</f>
        <v>0</v>
      </c>
      <c r="D16" s="70" t="s">
        <v>93</v>
      </c>
    </row>
    <row r="17" spans="2:10" x14ac:dyDescent="0.2">
      <c r="B17" s="65" t="s">
        <v>85</v>
      </c>
      <c r="C17" s="66">
        <f>IF(J47/H18&lt;0.01,0,J47/H18)</f>
        <v>0</v>
      </c>
      <c r="D17" s="70" t="s">
        <v>94</v>
      </c>
    </row>
    <row r="18" spans="2:10" x14ac:dyDescent="0.2">
      <c r="B18" s="65" t="s">
        <v>104</v>
      </c>
      <c r="C18" s="68" t="str">
        <f>MIN(G25:G42)&amp;" - "&amp;MAX(G25:G42)&amp;" sq.ft."</f>
        <v>100000 - 100000 sq.ft.</v>
      </c>
      <c r="D18" s="1" t="s">
        <v>92</v>
      </c>
      <c r="H18" s="1">
        <v>999999999</v>
      </c>
    </row>
    <row r="19" spans="2:10" x14ac:dyDescent="0.2">
      <c r="B19" s="65" t="s">
        <v>105</v>
      </c>
      <c r="C19" s="66" t="str">
        <f>MIN(G43:G46)&amp;" - "&amp;MAX(G43:G46)&amp;" sq.ft."</f>
        <v>300000 - 400000 sq.ft.</v>
      </c>
      <c r="D19" s="71" t="s">
        <v>95</v>
      </c>
    </row>
    <row r="20" spans="2:10" ht="16" thickBot="1" x14ac:dyDescent="0.25"/>
    <row r="21" spans="2:10" s="2" customFormat="1" ht="22.25" customHeight="1" thickBot="1" x14ac:dyDescent="0.25">
      <c r="B21" s="55" t="s">
        <v>1</v>
      </c>
      <c r="C21" s="56" t="s">
        <v>2</v>
      </c>
      <c r="D21" s="56" t="s">
        <v>26</v>
      </c>
      <c r="E21" s="56" t="s">
        <v>22</v>
      </c>
      <c r="F21" s="56" t="s">
        <v>25</v>
      </c>
      <c r="G21" s="56" t="s">
        <v>64</v>
      </c>
      <c r="H21" s="56" t="s">
        <v>54</v>
      </c>
      <c r="I21" s="57" t="s">
        <v>3</v>
      </c>
      <c r="J21" s="121" t="s">
        <v>55</v>
      </c>
    </row>
    <row r="22" spans="2:10" x14ac:dyDescent="0.2">
      <c r="B22" s="80" t="s">
        <v>4</v>
      </c>
      <c r="C22" s="81" t="s">
        <v>5</v>
      </c>
      <c r="D22" s="91">
        <v>12000</v>
      </c>
      <c r="E22" s="82"/>
      <c r="F22" s="95">
        <f>IF($C9&lt;&gt;"Error!",ROUNDUP((C6/$D22),0),0)</f>
        <v>9</v>
      </c>
      <c r="G22" s="83">
        <f>IF(F22&gt;0,(F22*D22)-C$6)</f>
        <v>8000</v>
      </c>
      <c r="H22" s="83">
        <f>IF($C9&lt;&gt;"Error!",ROUNDUP(($H$18/$D22),0),0)</f>
        <v>83334</v>
      </c>
      <c r="I22" s="98">
        <f>IF(C9&lt;&gt;"Error!",F22*E22,0)</f>
        <v>0</v>
      </c>
      <c r="J22" s="86">
        <f t="shared" ref="J22:J39" si="0">IF(C$9&gt;0,H22*E22,0)</f>
        <v>0</v>
      </c>
    </row>
    <row r="23" spans="2:10" x14ac:dyDescent="0.2">
      <c r="B23" s="19" t="s">
        <v>6</v>
      </c>
      <c r="C23" s="20" t="s">
        <v>7</v>
      </c>
      <c r="D23" s="92">
        <v>2500</v>
      </c>
      <c r="E23" s="82"/>
      <c r="F23" s="96">
        <f>IF($C9&lt;&gt;"Error!",ROUNDUP((C6/$D23),0),0)</f>
        <v>40</v>
      </c>
      <c r="G23" s="75">
        <f t="shared" ref="G23:G46" si="1">IF(F23&gt;0,(F23*D23)-C$6)</f>
        <v>0</v>
      </c>
      <c r="H23" s="5">
        <f>IF($C9&lt;&gt;"Error!",ROUNDUP(($H$18/$D23),0),0)</f>
        <v>400000</v>
      </c>
      <c r="I23" s="99">
        <f>E23*F23</f>
        <v>0</v>
      </c>
      <c r="J23" s="87">
        <f t="shared" si="0"/>
        <v>0</v>
      </c>
    </row>
    <row r="24" spans="2:10" s="73" customFormat="1" x14ac:dyDescent="0.2">
      <c r="B24" s="19" t="s">
        <v>20</v>
      </c>
      <c r="C24" s="20" t="s">
        <v>109</v>
      </c>
      <c r="D24" s="93">
        <v>60000</v>
      </c>
      <c r="E24" s="82"/>
      <c r="F24" s="96">
        <f>IF($C9&lt;&gt;"Error!",ROUNDUP((C6/$D24),0),0)</f>
        <v>2</v>
      </c>
      <c r="G24" s="75">
        <f t="shared" ref="G24" si="2">IF(F24&gt;0,(F24*D24)-C$6)</f>
        <v>20000</v>
      </c>
      <c r="H24" s="5">
        <f>IF($C9&lt;&gt;"Error!",ROUNDUP(($H$18/$D24),0),0)</f>
        <v>16667</v>
      </c>
      <c r="I24" s="100">
        <f>E24*F24</f>
        <v>0</v>
      </c>
      <c r="J24" s="87">
        <f t="shared" si="0"/>
        <v>0</v>
      </c>
    </row>
    <row r="25" spans="2:10" x14ac:dyDescent="0.2">
      <c r="B25" s="21" t="s">
        <v>110</v>
      </c>
      <c r="C25" s="22" t="s">
        <v>8</v>
      </c>
      <c r="D25" s="94">
        <v>30000</v>
      </c>
      <c r="E25" s="82"/>
      <c r="F25" s="96">
        <f>IF($C9&lt;&gt;"Error!",IF(AND($C7&lt;=200,$C8&gt;=200),IF($C14=28,EVEN((C6/$D25)),IF($C14=14,ROUNDUP((C6/$D25),0),0)),0),0)</f>
        <v>0</v>
      </c>
      <c r="G25" s="75" t="b">
        <f t="shared" si="1"/>
        <v>0</v>
      </c>
      <c r="H25" s="5">
        <f>IF($C9&lt;&gt;"Error!",IF(AND($C7&lt;=200,$C8&gt;=200),IF($C14=28,EVEN(($H$18/$D25)),IF($C14=14,ROUNDUP(($H$18/$D25),0),0)),0),0)</f>
        <v>0</v>
      </c>
      <c r="I25" s="99">
        <f>IF(AND(OR(C$14=14,C$14=28),C$9&gt;0),F25*E25,0)</f>
        <v>0</v>
      </c>
      <c r="J25" s="87">
        <f t="shared" si="0"/>
        <v>0</v>
      </c>
    </row>
    <row r="26" spans="2:10" x14ac:dyDescent="0.2">
      <c r="B26" s="21" t="s">
        <v>111</v>
      </c>
      <c r="C26" s="22" t="s">
        <v>9</v>
      </c>
      <c r="D26" s="94">
        <v>60000</v>
      </c>
      <c r="E26" s="82"/>
      <c r="F26" s="96">
        <f>IF($C9&lt;&gt;"Error!",IF(AND($C7&lt;=400,$C8&gt;=400),IF($C14=28,EVEN((C6/$D26)),IF($C14=14,ROUNDUP((C6/$D26),0),0)),0),0)</f>
        <v>0</v>
      </c>
      <c r="G26" s="75" t="b">
        <f t="shared" si="1"/>
        <v>0</v>
      </c>
      <c r="H26" s="5">
        <f>IF($C9&lt;&gt;"Error!",IF(AND($C7&lt;=400,$C8&gt;=400),IF($C14=28,EVEN(($H$18/$D26)),IF($C14=14,ROUNDUP(($H$18/$D26),0),0)),0),0)</f>
        <v>0</v>
      </c>
      <c r="I26" s="99">
        <f>IF(AND(OR(C$14=14,C$14=28),C$9&gt;0),F26*E26,0)</f>
        <v>0</v>
      </c>
      <c r="J26" s="87">
        <f t="shared" si="0"/>
        <v>0</v>
      </c>
    </row>
    <row r="27" spans="2:10" x14ac:dyDescent="0.2">
      <c r="B27" s="21" t="s">
        <v>112</v>
      </c>
      <c r="C27" s="22" t="s">
        <v>10</v>
      </c>
      <c r="D27" s="94">
        <v>100000</v>
      </c>
      <c r="E27" s="82"/>
      <c r="F27" s="96">
        <f>IF($C9&lt;&gt;"Error!",IF(AND($C7&lt;=800,$C8=800),IF($C14=28,EVEN((C6/$D27)),IF($C14=14,ROUNDUP((C6/$D27),0),0)),),0)</f>
        <v>0</v>
      </c>
      <c r="G27" s="75" t="b">
        <f t="shared" si="1"/>
        <v>0</v>
      </c>
      <c r="H27" s="5">
        <f>IF($C9&lt;&gt;"Error!",IF(AND($C7&lt;=800,$C8=800),IF($C14=28,EVEN(($H$18/$D27)),IF($C14=14,ROUNDUP(($H$18/$D27),0),0)),),0)</f>
        <v>0</v>
      </c>
      <c r="I27" s="99">
        <f>IF(AND(OR(C$14=14,C$14=28),C$9&gt;0),F27*E27,0)</f>
        <v>0</v>
      </c>
      <c r="J27" s="87">
        <f t="shared" si="0"/>
        <v>0</v>
      </c>
    </row>
    <row r="28" spans="2:10" x14ac:dyDescent="0.2">
      <c r="B28" s="21" t="s">
        <v>113</v>
      </c>
      <c r="C28" s="22" t="s">
        <v>11</v>
      </c>
      <c r="D28" s="94">
        <v>30000</v>
      </c>
      <c r="E28" s="82"/>
      <c r="F28" s="96">
        <f>IF($C9&lt;&gt;"Error!",IF(AND($C7&lt;=200,$C8&gt;=200),IF($C14=32,EVEN((C6/$D28)),IF($C14=16,ROUNDUP((C6/$D28),0),0)),0),0)</f>
        <v>0</v>
      </c>
      <c r="G28" s="75" t="b">
        <f t="shared" si="1"/>
        <v>0</v>
      </c>
      <c r="H28" s="5">
        <f>IF($C9&lt;&gt;"Error!",IF(AND($C7&lt;=200,$C8&gt;=200),IF($C14=32,EVEN(($H$18/$D28)),IF($C14=16,ROUNDUP(($H$18/$D28),0),0)),0),0)</f>
        <v>0</v>
      </c>
      <c r="I28" s="99">
        <f t="shared" ref="I28:I30" si="3">IF(AND(OR(C$14=16,C$14=32),C$9&gt;0),F28*E28,0)</f>
        <v>0</v>
      </c>
      <c r="J28" s="87">
        <f t="shared" si="0"/>
        <v>0</v>
      </c>
    </row>
    <row r="29" spans="2:10" x14ac:dyDescent="0.2">
      <c r="B29" s="21" t="s">
        <v>114</v>
      </c>
      <c r="C29" s="22" t="s">
        <v>12</v>
      </c>
      <c r="D29" s="94">
        <v>60000</v>
      </c>
      <c r="E29" s="82"/>
      <c r="F29" s="96">
        <f>IF($C9&lt;&gt;"Error!",IF(AND($C7&lt;=400,$C8&gt;=400),IF($C14=32,EVEN((C6/$D29)),IF($C14=16,ROUNDUP((C6/$D29),0),0)),0),0)</f>
        <v>0</v>
      </c>
      <c r="G29" s="75" t="b">
        <f t="shared" si="1"/>
        <v>0</v>
      </c>
      <c r="H29" s="5">
        <f>IF($C9&lt;&gt;"Error!",IF(AND($C7&lt;=400,$C8&gt;=400),IF($C14=32,EVEN(($H$18/$D29)),IF($C14=16,ROUNDUP(($H$18/$D29),0),0)),0),0)</f>
        <v>0</v>
      </c>
      <c r="I29" s="99">
        <f t="shared" si="3"/>
        <v>0</v>
      </c>
      <c r="J29" s="87">
        <f t="shared" si="0"/>
        <v>0</v>
      </c>
    </row>
    <row r="30" spans="2:10" x14ac:dyDescent="0.2">
      <c r="B30" s="21" t="s">
        <v>115</v>
      </c>
      <c r="C30" s="22" t="s">
        <v>13</v>
      </c>
      <c r="D30" s="94">
        <v>100000</v>
      </c>
      <c r="E30" s="82"/>
      <c r="F30" s="96">
        <f>IF($C9&lt;&gt;"Error!",IF(AND($C7&lt;=800,$C8=800),IF($C14=32,EVEN((C6/$D30)),IF($C14=16,ROUNDUP((C6/$D30),0),0)),),0)</f>
        <v>0</v>
      </c>
      <c r="G30" s="75" t="b">
        <f t="shared" si="1"/>
        <v>0</v>
      </c>
      <c r="H30" s="5">
        <f>IF($C9&lt;&gt;"Error!",IF(AND($C7&lt;=800,$C8=800),IF($C14=32,EVEN(($H$18/$D30)),IF($C14=16,ROUNDUP(($H$18/$D30),0),0)),),0)</f>
        <v>0</v>
      </c>
      <c r="I30" s="99">
        <f t="shared" si="3"/>
        <v>0</v>
      </c>
      <c r="J30" s="87">
        <f t="shared" si="0"/>
        <v>0</v>
      </c>
    </row>
    <row r="31" spans="2:10" x14ac:dyDescent="0.2">
      <c r="B31" s="21" t="s">
        <v>116</v>
      </c>
      <c r="C31" s="22" t="s">
        <v>89</v>
      </c>
      <c r="D31" s="94">
        <v>30000</v>
      </c>
      <c r="E31" s="82"/>
      <c r="F31" s="96">
        <f>IF($C9&lt;&gt;"Error!",IF(AND($C$7&lt;=200,$C$8&gt;=200),IF($C$14=17,ROUNDUP(($C$6/$D31),0),0),0),0)</f>
        <v>0</v>
      </c>
      <c r="G31" s="75" t="b">
        <f t="shared" ref="G31:G33" si="4">IF(F31&gt;0,(F31*D31)-C$6)</f>
        <v>0</v>
      </c>
      <c r="H31" s="5">
        <f>IF($C6&lt;&gt;"Error!",IF(OR($C4=100,$C5=100),IF($C11=36,EVEN(($H$18/$D31)),IF($C11=18,ROUNDUP(($H$18/$D31),0),0)),0),0)</f>
        <v>0</v>
      </c>
      <c r="I31" s="99">
        <f>IF(AND(OR(C$14=17),C$9&gt;0),F31*E31,0)</f>
        <v>0</v>
      </c>
      <c r="J31" s="87">
        <f t="shared" ref="J31:J33" si="5">IF(C$9&gt;0,H31*E31,0)</f>
        <v>0</v>
      </c>
    </row>
    <row r="32" spans="2:10" x14ac:dyDescent="0.2">
      <c r="B32" s="21" t="s">
        <v>117</v>
      </c>
      <c r="C32" s="22" t="s">
        <v>90</v>
      </c>
      <c r="D32" s="94">
        <v>60000</v>
      </c>
      <c r="E32" s="82"/>
      <c r="F32" s="96">
        <f>IF($C10&lt;&gt;"Error!",IF(AND($C$7&lt;=400,$C$8&gt;=400),IF($C$14=17,ROUNDUP(($C$6/$D32),0),0),0),0)</f>
        <v>0</v>
      </c>
      <c r="G32" s="75" t="b">
        <f t="shared" si="4"/>
        <v>0</v>
      </c>
      <c r="H32" s="5">
        <f>IF($C6&lt;&gt;"Error!",IF(AND($C4&lt;=200,$C5&gt;=200),IF($C11=36,EVEN(($H$18/$D32)),IF($C11=18,ROUNDUP(($H$18/$D32),0),0)),0),0)</f>
        <v>0</v>
      </c>
      <c r="I32" s="99">
        <f t="shared" ref="I32:I33" si="6">IF(AND(OR(C$14=17),C$9&gt;0),F32*E32,0)</f>
        <v>0</v>
      </c>
      <c r="J32" s="87">
        <f t="shared" si="5"/>
        <v>0</v>
      </c>
    </row>
    <row r="33" spans="2:10" x14ac:dyDescent="0.2">
      <c r="B33" s="21" t="s">
        <v>118</v>
      </c>
      <c r="C33" s="22" t="s">
        <v>108</v>
      </c>
      <c r="D33" s="94">
        <v>100000</v>
      </c>
      <c r="E33" s="82"/>
      <c r="F33" s="96">
        <f>IF($C11&lt;&gt;"Error!",IF(AND($C$7&lt;=800,$C$8&gt;=800),IF($C$14=17,ROUNDUP(($C$6/$D33),0),0),0),0)</f>
        <v>0</v>
      </c>
      <c r="G33" s="75" t="b">
        <f t="shared" si="4"/>
        <v>0</v>
      </c>
      <c r="H33" s="5">
        <f>IF($C6&lt;&gt;"Error!",IF(AND($C4&lt;=400,$C5&gt;=400),IF($C11=36,EVEN(($H$18/$D33)),IF($C11=18,ROUNDUP(($H$18/$D33),0),0)),0),0)</f>
        <v>0</v>
      </c>
      <c r="I33" s="99">
        <f t="shared" si="6"/>
        <v>0</v>
      </c>
      <c r="J33" s="87">
        <f t="shared" si="5"/>
        <v>0</v>
      </c>
    </row>
    <row r="34" spans="2:10" x14ac:dyDescent="0.2">
      <c r="B34" s="21" t="s">
        <v>119</v>
      </c>
      <c r="C34" s="22" t="s">
        <v>14</v>
      </c>
      <c r="D34" s="94">
        <v>30000</v>
      </c>
      <c r="E34" s="82"/>
      <c r="F34" s="96">
        <f>IF($C9&lt;&gt;"Error!",IF(AND($C7&lt;=200,$C8&gt;=200),IF($C14=36,EVEN((C6/$D34)),IF($C14=18,ROUNDUP((C6/$D34),0),0)),0),0)</f>
        <v>0</v>
      </c>
      <c r="G34" s="75" t="b">
        <f t="shared" si="1"/>
        <v>0</v>
      </c>
      <c r="H34" s="5">
        <f>IF($C9&lt;&gt;"Error!",IF(AND($C7&lt;=200,$C8&gt;=200),IF($C14=36,EVEN(($H$18/$D34)),IF($C14=18,ROUNDUP(($H$18/$D34),0),0)),0),0)</f>
        <v>0</v>
      </c>
      <c r="I34" s="99">
        <f t="shared" ref="I34:I36" si="7">IF(AND(OR(C$14=18,C$14=36),C$9&gt;0),F34*E34,0)</f>
        <v>0</v>
      </c>
      <c r="J34" s="87">
        <f t="shared" si="0"/>
        <v>0</v>
      </c>
    </row>
    <row r="35" spans="2:10" x14ac:dyDescent="0.2">
      <c r="B35" s="21" t="s">
        <v>120</v>
      </c>
      <c r="C35" s="22" t="s">
        <v>15</v>
      </c>
      <c r="D35" s="94">
        <v>60000</v>
      </c>
      <c r="E35" s="82"/>
      <c r="F35" s="96">
        <f>IF($C9&lt;&gt;"Error!",IF(AND($C7&lt;=400,$C8&gt;=400),IF($C14=36,EVEN((C6/$D35)),IF($C14=18,ROUNDUP((C6/$D35),0),0)),0),0)</f>
        <v>0</v>
      </c>
      <c r="G35" s="75" t="b">
        <f t="shared" si="1"/>
        <v>0</v>
      </c>
      <c r="H35" s="5">
        <f>IF($C9&lt;&gt;"Error!",IF(AND($C7&lt;=400,$C8&gt;=400),IF($C14=36,EVEN(($H$18/$D35)),IF($C14=18,ROUNDUP(($H$18/$D35),0),0)),0),0)</f>
        <v>0</v>
      </c>
      <c r="I35" s="99">
        <f t="shared" si="7"/>
        <v>0</v>
      </c>
      <c r="J35" s="87">
        <f t="shared" si="0"/>
        <v>0</v>
      </c>
    </row>
    <row r="36" spans="2:10" x14ac:dyDescent="0.2">
      <c r="B36" s="21" t="s">
        <v>121</v>
      </c>
      <c r="C36" s="22" t="s">
        <v>16</v>
      </c>
      <c r="D36" s="94">
        <v>100000</v>
      </c>
      <c r="E36" s="82"/>
      <c r="F36" s="96">
        <f>IF($C9&lt;&gt;"Error!",IF(AND($C7&lt;=800,$C8=800),IF($C14=36,EVEN((C6/$D36)),IF($C14=18,ROUNDUP((C6/$D36),0),0)),),0)</f>
        <v>0</v>
      </c>
      <c r="G36" s="75" t="b">
        <f t="shared" si="1"/>
        <v>0</v>
      </c>
      <c r="H36" s="5">
        <f>IF($C9&lt;&gt;"Error!",IF(AND($C7&lt;=800,$C8=800),IF($C14=36,EVEN(($H$18/$D36)),IF($C14=14,ROUNDUP(($H$18/$D36),0),0)),),0)</f>
        <v>0</v>
      </c>
      <c r="I36" s="99">
        <f t="shared" si="7"/>
        <v>0</v>
      </c>
      <c r="J36" s="87">
        <f t="shared" si="0"/>
        <v>0</v>
      </c>
    </row>
    <row r="37" spans="2:10" x14ac:dyDescent="0.2">
      <c r="B37" s="19" t="s">
        <v>122</v>
      </c>
      <c r="C37" s="20" t="s">
        <v>17</v>
      </c>
      <c r="D37" s="94">
        <v>30000</v>
      </c>
      <c r="E37" s="82"/>
      <c r="F37" s="96">
        <f>IF($C9&lt;&gt;"Error!",IF(OR($C7&lt;=200,$C8&gt;=200),IF($C14=20,ROUNDUP((C6/$D37),0),0),0),0)</f>
        <v>0</v>
      </c>
      <c r="G37" s="75" t="b">
        <f t="shared" si="1"/>
        <v>0</v>
      </c>
      <c r="H37" s="5">
        <f>IF($C9&lt;&gt;"Error!",IF(OR($C7&lt;=200,$C8&gt;=200),IF($C14=20,ROUNDUP(($H$18/$D37),0),0),0),0)</f>
        <v>0</v>
      </c>
      <c r="I37" s="99">
        <f>IF(AND(OR(C$14=20),C$9&gt;0),F37*E37,0)</f>
        <v>0</v>
      </c>
      <c r="J37" s="87">
        <f t="shared" si="0"/>
        <v>0</v>
      </c>
    </row>
    <row r="38" spans="2:10" x14ac:dyDescent="0.2">
      <c r="B38" s="19" t="s">
        <v>123</v>
      </c>
      <c r="C38" s="20" t="s">
        <v>18</v>
      </c>
      <c r="D38" s="94">
        <v>60000</v>
      </c>
      <c r="E38" s="82"/>
      <c r="F38" s="96">
        <f>IF($C9&lt;&gt;"Error!",IF(OR($C7&lt;=400,$C8&gt;=400),IF($C14=20,ROUNDUP((C6/$D38),0),0),0),0)</f>
        <v>0</v>
      </c>
      <c r="G38" s="75" t="b">
        <f t="shared" si="1"/>
        <v>0</v>
      </c>
      <c r="H38" s="5">
        <f>IF($C9&lt;&gt;"Error!",IF(OR($C7&lt;=400,$C8&gt;=400),IF($C14=20,ROUNDUP(($H$18/$D38),0),0),0),0)</f>
        <v>0</v>
      </c>
      <c r="I38" s="99">
        <f t="shared" ref="I38:I39" si="8">IF(AND(OR(C$14=20),C$9&gt;0),F38*E38,0)</f>
        <v>0</v>
      </c>
      <c r="J38" s="87">
        <f t="shared" si="0"/>
        <v>0</v>
      </c>
    </row>
    <row r="39" spans="2:10" x14ac:dyDescent="0.2">
      <c r="B39" s="19" t="s">
        <v>124</v>
      </c>
      <c r="C39" s="20" t="s">
        <v>19</v>
      </c>
      <c r="D39" s="94">
        <v>100000</v>
      </c>
      <c r="E39" s="82"/>
      <c r="F39" s="96">
        <f>IF($C9&lt;&gt;"Error!",IF(OR($C7&lt;=800,$C8=800),IF($C14=20,ROUNDUP((C6/$D39),0),0),0),0)</f>
        <v>0</v>
      </c>
      <c r="G39" s="75" t="b">
        <f>IF(F39&gt;0,(F39*D39)-C$6)</f>
        <v>0</v>
      </c>
      <c r="H39" s="5">
        <f>IF($C9&lt;&gt;"Error!",IF(OR($C7&lt;=800,$C8=800),IF($C14=20,ROUNDUP(($H$18/$D39),0),0),0),0)</f>
        <v>0</v>
      </c>
      <c r="I39" s="99">
        <f t="shared" si="8"/>
        <v>0</v>
      </c>
      <c r="J39" s="87">
        <f t="shared" si="0"/>
        <v>0</v>
      </c>
    </row>
    <row r="40" spans="2:10" s="69" customFormat="1" x14ac:dyDescent="0.2">
      <c r="B40" s="19" t="s">
        <v>125</v>
      </c>
      <c r="C40" s="20" t="s">
        <v>91</v>
      </c>
      <c r="D40" s="94">
        <v>200000</v>
      </c>
      <c r="E40" s="82"/>
      <c r="F40" s="96">
        <f>IF($C10&lt;&gt;"Error!",IF(OR($C11=Facts!H2),IF($C15=20,ROUNDUP((C6/$D40),0),0),0),0)</f>
        <v>1</v>
      </c>
      <c r="G40" s="75">
        <f>IF(F40&gt;0,(F40*D40)-C$6)</f>
        <v>100000</v>
      </c>
      <c r="H40" s="5">
        <f>IF($C10&lt;&gt;"Error!",IF(OR($C8&lt;=800,$C9=800),IF($C15=20,ROUNDUP(($H$18/$D40),0),0),0),0)</f>
        <v>5000</v>
      </c>
      <c r="I40" s="101">
        <f>IF(AND(OR(C$15=20),C$9&gt;0),F40*E40,0)</f>
        <v>0</v>
      </c>
      <c r="J40" s="88">
        <f t="shared" ref="J40:J42" si="9">IF(C$9&gt;0,H40*E40,0)</f>
        <v>0</v>
      </c>
    </row>
    <row r="41" spans="2:10" s="69" customFormat="1" x14ac:dyDescent="0.2">
      <c r="B41" s="19" t="s">
        <v>147</v>
      </c>
      <c r="C41" s="20" t="s">
        <v>149</v>
      </c>
      <c r="D41" s="94">
        <v>200000</v>
      </c>
      <c r="E41" s="82"/>
      <c r="F41" s="96">
        <f>IF($C10&lt;&gt;"Error!",IF(OR($C11=Facts!H2),IF($C15=27,ROUNDUP((C6/$D41),0),0),0),0)</f>
        <v>0</v>
      </c>
      <c r="G41" s="75" t="b">
        <f>IF(F41&gt;0,(F41*D41)-C$6)</f>
        <v>0</v>
      </c>
      <c r="H41" s="5">
        <f>IF($C10&lt;&gt;"Error!",IF(OR($C8&lt;=800,$C9=800),IF($C15=27,ROUNDUP(($H$18/$D41),0),0),0),0)</f>
        <v>0</v>
      </c>
      <c r="I41" s="101">
        <f>IF(AND(OR(C$15=27),C$9&gt;0),F41*E41,0)</f>
        <v>0</v>
      </c>
      <c r="J41" s="88">
        <f t="shared" si="9"/>
        <v>0</v>
      </c>
    </row>
    <row r="42" spans="2:10" s="69" customFormat="1" x14ac:dyDescent="0.2">
      <c r="B42" s="19" t="s">
        <v>148</v>
      </c>
      <c r="C42" s="20" t="s">
        <v>150</v>
      </c>
      <c r="D42" s="94">
        <v>200000</v>
      </c>
      <c r="E42" s="82"/>
      <c r="F42" s="96">
        <f>IF($C10&lt;&gt;"Error!",IF(OR($C11=Facts!H3),IF($C15=27,ROUNDUP((C6/$D42),0),0),0),0)</f>
        <v>0</v>
      </c>
      <c r="G42" s="75" t="b">
        <f>IF(F42&gt;0,(F42*D42)-C$6)</f>
        <v>0</v>
      </c>
      <c r="H42" s="5">
        <f>IF($C10&lt;&gt;"Error!",IF(OR($C8&lt;=800,$C9=800),IF($C15=27,ROUNDUP(($H$18/$D42),0),0),0),0)</f>
        <v>0</v>
      </c>
      <c r="I42" s="101">
        <f>IF(AND(OR(C$15=27),C$9&gt;0),F42*E42,0)</f>
        <v>0</v>
      </c>
      <c r="J42" s="88">
        <f t="shared" si="9"/>
        <v>0</v>
      </c>
    </row>
    <row r="43" spans="2:10" x14ac:dyDescent="0.2">
      <c r="B43" s="19" t="s">
        <v>126</v>
      </c>
      <c r="C43" s="20" t="s">
        <v>57</v>
      </c>
      <c r="D43" s="92">
        <v>400000</v>
      </c>
      <c r="E43" s="82"/>
      <c r="F43" s="96">
        <f>IF($C13&lt;&gt;"Error!",IF(AND(OR($C11=Facts!H2,$C11="1500 - CMP"),OR($C12="1500 - CMP",$C12="3000 - CMP")),IF($C15=20,ROUNDUP((C6/$D43),0),0),0),0)</f>
        <v>1</v>
      </c>
      <c r="G43" s="75">
        <f t="shared" si="1"/>
        <v>300000</v>
      </c>
      <c r="H43" s="5">
        <f>IF($C13&lt;&gt;"Error!",IF(AND($C11&lt;=1500,$C12&gt;=1500),IF($C15=20,ROUNDUP((H18/$D43),0),0),0),0)</f>
        <v>0</v>
      </c>
      <c r="I43" s="99">
        <f>IF(AND(C15=20,C$13&gt;0),F43*E43,0)</f>
        <v>0</v>
      </c>
      <c r="J43" s="87">
        <f t="shared" ref="J43:J46" si="10">IF(C$13&gt;0,H43*E43,0)</f>
        <v>0</v>
      </c>
    </row>
    <row r="44" spans="2:10" x14ac:dyDescent="0.2">
      <c r="B44" s="19" t="s">
        <v>127</v>
      </c>
      <c r="C44" s="20" t="s">
        <v>58</v>
      </c>
      <c r="D44" s="92">
        <v>500000</v>
      </c>
      <c r="E44" s="82"/>
      <c r="F44" s="96">
        <f>IF($C13&lt;&gt;"Error!",IF(OR($C11="3000 - CMP",$C12="3000 - CMP"),IF($C15=20,ROUNDUP((C6/$D44),0),0),0),0)</f>
        <v>1</v>
      </c>
      <c r="G44" s="75">
        <f t="shared" si="1"/>
        <v>400000</v>
      </c>
      <c r="H44" s="5">
        <f>IF($C13&lt;&gt;"Error!",IF(AND($C11&lt;=3000,$C12=3000),IF($C15=20,ROUNDUP((H18/$D43),0),0),0),0)</f>
        <v>0</v>
      </c>
      <c r="I44" s="99">
        <f>IF(AND(C15=20,C$13&gt;0),F44*E44,0)</f>
        <v>0</v>
      </c>
      <c r="J44" s="87">
        <f t="shared" si="10"/>
        <v>0</v>
      </c>
    </row>
    <row r="45" spans="2:10" x14ac:dyDescent="0.2">
      <c r="B45" s="19" t="s">
        <v>128</v>
      </c>
      <c r="C45" s="20" t="s">
        <v>60</v>
      </c>
      <c r="D45" s="92">
        <v>400000</v>
      </c>
      <c r="E45" s="82"/>
      <c r="F45" s="96">
        <f>IF($C13&lt;&gt;"Error!",IF(AND(OR($C11=Facts!H2,$C11="1500 - CMP"),OR($C12="1500 - CMP",$C12="3000 - CMP")),IF($C15=27,ROUNDUP((C6/$D45),0),0),0),0)</f>
        <v>0</v>
      </c>
      <c r="G45" s="75" t="b">
        <f t="shared" si="1"/>
        <v>0</v>
      </c>
      <c r="H45" s="5">
        <f>IF($C13&lt;&gt;"Error!",IF(AND($C11&lt;=1500,$C12&gt;=1500),IF($C15=27,ROUNDUP((H18/$D45),0),0),0),0)</f>
        <v>0</v>
      </c>
      <c r="I45" s="99">
        <f>IF(AND(C15=27,C$13&gt;0),F45*E45,0)</f>
        <v>0</v>
      </c>
      <c r="J45" s="87">
        <f t="shared" si="10"/>
        <v>0</v>
      </c>
    </row>
    <row r="46" spans="2:10" ht="16" thickBot="1" x14ac:dyDescent="0.25">
      <c r="B46" s="76" t="s">
        <v>129</v>
      </c>
      <c r="C46" s="77" t="s">
        <v>61</v>
      </c>
      <c r="D46" s="92">
        <v>500000</v>
      </c>
      <c r="E46" s="82"/>
      <c r="F46" s="97">
        <f>IF($C13&lt;&gt;"Error!",IF(OR($C11="3000 - CMP",$C12="3000 - CMP"),IF($C15=27,ROUNDUP((C6/$D46),0),0),0),0)</f>
        <v>0</v>
      </c>
      <c r="G46" s="79" t="b">
        <f t="shared" si="1"/>
        <v>0</v>
      </c>
      <c r="H46" s="78">
        <f>IF($C13&lt;&gt;"Error!",IF(AND($C11&lt;=3000,$C12=3000),IF($C15=27,ROUNDUP((H18/$D46),0),0),0),0)</f>
        <v>0</v>
      </c>
      <c r="I46" s="102">
        <f>IF(AND(C15=27,C$13&gt;0),F46*E46,0)</f>
        <v>0</v>
      </c>
      <c r="J46" s="89">
        <f t="shared" si="10"/>
        <v>0</v>
      </c>
    </row>
    <row r="47" spans="2:10" ht="27" customHeight="1" thickBot="1" x14ac:dyDescent="0.25">
      <c r="B47" s="84" t="s">
        <v>3</v>
      </c>
      <c r="C47" s="85"/>
      <c r="D47" s="85"/>
      <c r="E47" s="85"/>
      <c r="F47" s="85"/>
      <c r="G47" s="85"/>
      <c r="H47" s="85"/>
      <c r="I47" s="103">
        <f>SUM(I22:I46)</f>
        <v>0</v>
      </c>
      <c r="J47" s="90">
        <f>SUM(J22:J46)</f>
        <v>0</v>
      </c>
    </row>
    <row r="49" spans="9:9" x14ac:dyDescent="0.2">
      <c r="I49" s="62" t="s">
        <v>160</v>
      </c>
    </row>
  </sheetData>
  <sheetProtection selectLockedCells="1"/>
  <protectedRanges>
    <protectedRange sqref="C6:C15" name="Range1"/>
  </protectedRanges>
  <mergeCells count="3">
    <mergeCell ref="B2:I2"/>
    <mergeCell ref="B3:I3"/>
    <mergeCell ref="B4:I4"/>
  </mergeCells>
  <phoneticPr fontId="9" type="noConversion"/>
  <pageMargins left="0.7" right="0.7" top="0.75" bottom="0.75" header="0.3" footer="0.3"/>
  <pageSetup scale="5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Facts!$A$6:$A$7</xm:f>
          </x14:formula1>
          <xm:sqref>C10</xm:sqref>
        </x14:dataValidation>
        <x14:dataValidation type="list" allowBlank="1" showInputMessage="1" showErrorMessage="1">
          <x14:formula1>
            <xm:f>Facts!$G$2:$G$5</xm:f>
          </x14:formula1>
          <xm:sqref>C8</xm:sqref>
        </x14:dataValidation>
        <x14:dataValidation type="list" allowBlank="1" showInputMessage="1" showErrorMessage="1">
          <x14:formula1>
            <xm:f>Facts!$E$8:$E$9</xm:f>
          </x14:formula1>
          <xm:sqref>C15</xm:sqref>
        </x14:dataValidation>
        <x14:dataValidation type="list" allowBlank="1" showInputMessage="1" showErrorMessage="1">
          <x14:formula1>
            <xm:f>Facts!$E$2:$E$6</xm:f>
          </x14:formula1>
          <xm:sqref>C14</xm:sqref>
        </x14:dataValidation>
        <x14:dataValidation type="list" allowBlank="1" showInputMessage="1" showErrorMessage="1">
          <x14:formula1>
            <xm:f>Facts!$G$3:$G$5</xm:f>
          </x14:formula1>
          <xm:sqref>C7</xm:sqref>
        </x14:dataValidation>
        <x14:dataValidation type="list" allowBlank="1" showInputMessage="1" showErrorMessage="1">
          <x14:formula1>
            <xm:f>Facts!$H$2:$H$5</xm:f>
          </x14:formula1>
          <xm:sqref>C11:C12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Q48"/>
  <sheetViews>
    <sheetView showGridLines="0" topLeftCell="A2" workbookViewId="0">
      <selection activeCell="F51" sqref="F51"/>
    </sheetView>
  </sheetViews>
  <sheetFormatPr baseColWidth="10" defaultColWidth="8.6640625" defaultRowHeight="15" x14ac:dyDescent="0.2"/>
  <cols>
    <col min="1" max="1" width="6.5" customWidth="1"/>
    <col min="2" max="2" width="30.33203125" customWidth="1"/>
    <col min="3" max="3" width="30.33203125" bestFit="1" customWidth="1"/>
    <col min="4" max="4" width="16.5" style="39" bestFit="1" customWidth="1"/>
    <col min="5" max="5" width="9.83203125" style="39" bestFit="1" customWidth="1"/>
    <col min="6" max="6" width="10.5" style="39" bestFit="1" customWidth="1"/>
    <col min="7" max="7" width="11.83203125" customWidth="1"/>
    <col min="8" max="8" width="12.5" style="39" bestFit="1" customWidth="1"/>
    <col min="9" max="9" width="11.6640625" bestFit="1" customWidth="1"/>
    <col min="10" max="10" width="11.5" style="39" bestFit="1" customWidth="1"/>
    <col min="11" max="11" width="10.5" bestFit="1" customWidth="1"/>
    <col min="12" max="12" width="11.33203125" style="39" bestFit="1" customWidth="1"/>
    <col min="13" max="13" width="12" customWidth="1"/>
    <col min="17" max="17" width="8.6640625" customWidth="1"/>
  </cols>
  <sheetData>
    <row r="2" spans="2:13" ht="75.75" customHeight="1" x14ac:dyDescent="0.2"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2:13" ht="26" x14ac:dyDescent="0.3">
      <c r="B3" s="123" t="s">
        <v>146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2:13" ht="19" customHeight="1" x14ac:dyDescent="0.2">
      <c r="B4" s="125" t="s">
        <v>143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</row>
    <row r="5" spans="2:13" hidden="1" x14ac:dyDescent="0.2">
      <c r="B5" t="s">
        <v>144</v>
      </c>
    </row>
    <row r="6" spans="2:13" hidden="1" x14ac:dyDescent="0.2"/>
    <row r="8" spans="2:13" x14ac:dyDescent="0.2">
      <c r="B8" s="42" t="s">
        <v>99</v>
      </c>
      <c r="C8" s="52">
        <v>50000</v>
      </c>
      <c r="D8" s="29"/>
    </row>
    <row r="9" spans="2:13" x14ac:dyDescent="0.2">
      <c r="B9" s="42" t="s">
        <v>100</v>
      </c>
      <c r="C9" s="53">
        <v>1</v>
      </c>
      <c r="D9" s="53" t="s">
        <v>96</v>
      </c>
    </row>
    <row r="10" spans="2:13" x14ac:dyDescent="0.2">
      <c r="B10" s="42" t="s">
        <v>41</v>
      </c>
      <c r="C10" s="53">
        <v>0</v>
      </c>
      <c r="D10" s="53" t="s">
        <v>96</v>
      </c>
    </row>
    <row r="11" spans="2:13" x14ac:dyDescent="0.2">
      <c r="B11" s="42" t="s">
        <v>86</v>
      </c>
      <c r="C11" s="53">
        <v>1500</v>
      </c>
      <c r="D11" s="29"/>
    </row>
    <row r="12" spans="2:13" x14ac:dyDescent="0.2">
      <c r="B12" s="42" t="s">
        <v>37</v>
      </c>
      <c r="C12" s="53">
        <v>20</v>
      </c>
      <c r="D12" s="29"/>
    </row>
    <row r="13" spans="2:13" x14ac:dyDescent="0.2">
      <c r="B13" s="42" t="s">
        <v>87</v>
      </c>
      <c r="C13" s="53">
        <v>3000</v>
      </c>
      <c r="D13" s="29"/>
    </row>
    <row r="14" spans="2:13" x14ac:dyDescent="0.2">
      <c r="B14" s="42" t="s">
        <v>38</v>
      </c>
      <c r="C14" s="53">
        <v>27</v>
      </c>
      <c r="D14" s="29"/>
    </row>
    <row r="16" spans="2:13" x14ac:dyDescent="0.2">
      <c r="B16" s="42" t="s">
        <v>35</v>
      </c>
      <c r="C16" s="43">
        <f>SUM(M22:M37)</f>
        <v>0</v>
      </c>
    </row>
    <row r="17" spans="1:13" x14ac:dyDescent="0.2">
      <c r="B17" s="42" t="s">
        <v>101</v>
      </c>
      <c r="C17" s="44">
        <f>C16/C8</f>
        <v>0</v>
      </c>
    </row>
    <row r="18" spans="1:13" x14ac:dyDescent="0.2">
      <c r="B18" s="42" t="s">
        <v>36</v>
      </c>
      <c r="C18" s="43">
        <f>SUM(M38:M45)</f>
        <v>0</v>
      </c>
    </row>
    <row r="19" spans="1:13" x14ac:dyDescent="0.2">
      <c r="B19" s="42" t="s">
        <v>102</v>
      </c>
      <c r="C19" s="45">
        <f>C18/C8</f>
        <v>0</v>
      </c>
      <c r="D19" s="63"/>
    </row>
    <row r="20" spans="1:13" ht="16" thickBot="1" x14ac:dyDescent="0.25"/>
    <row r="21" spans="1:13" s="2" customFormat="1" ht="16" thickBot="1" x14ac:dyDescent="0.25">
      <c r="A21" s="74"/>
      <c r="B21" s="118" t="s">
        <v>1</v>
      </c>
      <c r="C21" s="119" t="s">
        <v>2</v>
      </c>
      <c r="D21" s="119" t="s">
        <v>26</v>
      </c>
      <c r="E21" s="120" t="s">
        <v>22</v>
      </c>
      <c r="F21" s="120" t="s">
        <v>51</v>
      </c>
      <c r="G21" s="120" t="s">
        <v>47</v>
      </c>
      <c r="H21" s="120" t="s">
        <v>52</v>
      </c>
      <c r="I21" s="120" t="s">
        <v>48</v>
      </c>
      <c r="J21" s="120" t="s">
        <v>53</v>
      </c>
      <c r="K21" s="120" t="s">
        <v>49</v>
      </c>
      <c r="L21" s="120" t="s">
        <v>50</v>
      </c>
      <c r="M21" s="46" t="s">
        <v>35</v>
      </c>
    </row>
    <row r="22" spans="1:13" s="1" customFormat="1" x14ac:dyDescent="0.2">
      <c r="B22" s="109" t="s">
        <v>20</v>
      </c>
      <c r="C22" s="110" t="s">
        <v>21</v>
      </c>
      <c r="D22" s="111">
        <v>60000</v>
      </c>
      <c r="E22" s="112"/>
      <c r="F22" s="113">
        <f>C8*Facts!A19/Maintenance!D22</f>
        <v>43.333333333333336</v>
      </c>
      <c r="G22" s="114">
        <f t="shared" ref="G22:G43" si="0">F22*E22</f>
        <v>0</v>
      </c>
      <c r="H22" s="115">
        <f t="shared" ref="H22:I27" si="1">F22/12</f>
        <v>3.6111111111111112</v>
      </c>
      <c r="I22" s="114">
        <f t="shared" si="1"/>
        <v>0</v>
      </c>
      <c r="J22" s="116">
        <f t="shared" ref="J22:J43" si="2">F22/52</f>
        <v>0.83333333333333337</v>
      </c>
      <c r="K22" s="114">
        <f t="shared" ref="K22:K38" si="3">G22/52</f>
        <v>0</v>
      </c>
      <c r="L22" s="117">
        <f>F22/Facts!A19</f>
        <v>0.83333333333333337</v>
      </c>
      <c r="M22" s="98">
        <f>G22/Facts!A19</f>
        <v>0</v>
      </c>
    </row>
    <row r="23" spans="1:13" s="1" customFormat="1" x14ac:dyDescent="0.2">
      <c r="B23" s="3" t="s">
        <v>130</v>
      </c>
      <c r="C23" s="4" t="s">
        <v>66</v>
      </c>
      <c r="D23" s="40">
        <v>350000</v>
      </c>
      <c r="E23" s="112"/>
      <c r="F23" s="47">
        <f>IF(C11=800,IF(OR(C12=28,C12=14),(C8*Facts!A19/Maintenance!D23),0),0)</f>
        <v>0</v>
      </c>
      <c r="G23" s="104">
        <f t="shared" si="0"/>
        <v>0</v>
      </c>
      <c r="H23" s="48">
        <f t="shared" si="1"/>
        <v>0</v>
      </c>
      <c r="I23" s="104">
        <f t="shared" si="1"/>
        <v>0</v>
      </c>
      <c r="J23" s="51">
        <f t="shared" si="2"/>
        <v>0</v>
      </c>
      <c r="K23" s="104">
        <f t="shared" si="3"/>
        <v>0</v>
      </c>
      <c r="L23" s="49">
        <f>F23/Facts!A19</f>
        <v>0</v>
      </c>
      <c r="M23" s="99">
        <f>G23/Facts!A19</f>
        <v>0</v>
      </c>
    </row>
    <row r="24" spans="1:13" s="1" customFormat="1" x14ac:dyDescent="0.2">
      <c r="B24" s="3" t="s">
        <v>131</v>
      </c>
      <c r="C24" s="4" t="s">
        <v>67</v>
      </c>
      <c r="D24" s="40">
        <v>400000</v>
      </c>
      <c r="E24" s="112"/>
      <c r="F24" s="47">
        <f>IF(C11=1500,IF(OR(C12=28,C12=14),(C8*Facts!A19/Maintenance!D24),0),0)</f>
        <v>0</v>
      </c>
      <c r="G24" s="104">
        <f t="shared" si="0"/>
        <v>0</v>
      </c>
      <c r="H24" s="48">
        <f t="shared" si="1"/>
        <v>0</v>
      </c>
      <c r="I24" s="104">
        <f t="shared" si="1"/>
        <v>0</v>
      </c>
      <c r="J24" s="51">
        <f t="shared" si="2"/>
        <v>0</v>
      </c>
      <c r="K24" s="104">
        <f t="shared" si="3"/>
        <v>0</v>
      </c>
      <c r="L24" s="49">
        <f>F24/Facts!A19</f>
        <v>0</v>
      </c>
      <c r="M24" s="99">
        <f>G24/Facts!A19</f>
        <v>0</v>
      </c>
    </row>
    <row r="25" spans="1:13" s="1" customFormat="1" x14ac:dyDescent="0.2">
      <c r="B25" s="3" t="s">
        <v>132</v>
      </c>
      <c r="C25" s="4" t="s">
        <v>68</v>
      </c>
      <c r="D25" s="40">
        <v>500000</v>
      </c>
      <c r="E25" s="112"/>
      <c r="F25" s="47">
        <f>IF(C11=3000,IF(OR(C12=28,C12=14),(C8*Facts!A19/Maintenance!D25),0),0)</f>
        <v>0</v>
      </c>
      <c r="G25" s="104">
        <f t="shared" ref="G25" si="4">F25*E25</f>
        <v>0</v>
      </c>
      <c r="H25" s="48">
        <f t="shared" ref="H25" si="5">F25/12</f>
        <v>0</v>
      </c>
      <c r="I25" s="104">
        <f t="shared" ref="I25" si="6">G25/12</f>
        <v>0</v>
      </c>
      <c r="J25" s="51">
        <f t="shared" ref="J25" si="7">F25/52</f>
        <v>0</v>
      </c>
      <c r="K25" s="104">
        <f t="shared" ref="K25" si="8">G25/52</f>
        <v>0</v>
      </c>
      <c r="L25" s="49">
        <f>F25/Facts!A19</f>
        <v>0</v>
      </c>
      <c r="M25" s="99">
        <f>G25/Facts!A19</f>
        <v>0</v>
      </c>
    </row>
    <row r="26" spans="1:13" s="1" customFormat="1" x14ac:dyDescent="0.2">
      <c r="B26" s="3" t="s">
        <v>133</v>
      </c>
      <c r="C26" s="4" t="s">
        <v>69</v>
      </c>
      <c r="D26" s="40">
        <v>350000</v>
      </c>
      <c r="E26" s="112"/>
      <c r="F26" s="47">
        <f>IF(C11=800,IF(OR(C12=16,C12=32),(C8*Facts!A19/Maintenance!D26),0),0)</f>
        <v>0</v>
      </c>
      <c r="G26" s="104">
        <f t="shared" si="0"/>
        <v>0</v>
      </c>
      <c r="H26" s="48">
        <f t="shared" si="1"/>
        <v>0</v>
      </c>
      <c r="I26" s="104">
        <f t="shared" si="1"/>
        <v>0</v>
      </c>
      <c r="J26" s="51">
        <f t="shared" si="2"/>
        <v>0</v>
      </c>
      <c r="K26" s="104">
        <f t="shared" si="3"/>
        <v>0</v>
      </c>
      <c r="L26" s="49">
        <f>F26/Facts!A19</f>
        <v>0</v>
      </c>
      <c r="M26" s="99">
        <f>G26/Facts!A19</f>
        <v>0</v>
      </c>
    </row>
    <row r="27" spans="1:13" s="1" customFormat="1" x14ac:dyDescent="0.2">
      <c r="B27" s="3" t="s">
        <v>134</v>
      </c>
      <c r="C27" s="4" t="s">
        <v>70</v>
      </c>
      <c r="D27" s="40">
        <v>400000</v>
      </c>
      <c r="E27" s="112"/>
      <c r="F27" s="47">
        <f>IF(C11=1500,IF(OR(C12=16,C12=32),(C8*Facts!A19/Maintenance!D27),0),0)</f>
        <v>0</v>
      </c>
      <c r="G27" s="104">
        <f t="shared" si="0"/>
        <v>0</v>
      </c>
      <c r="H27" s="48">
        <f t="shared" si="1"/>
        <v>0</v>
      </c>
      <c r="I27" s="104">
        <f t="shared" si="1"/>
        <v>0</v>
      </c>
      <c r="J27" s="51">
        <f t="shared" si="2"/>
        <v>0</v>
      </c>
      <c r="K27" s="104">
        <f t="shared" si="3"/>
        <v>0</v>
      </c>
      <c r="L27" s="49">
        <f>F27/Facts!A19</f>
        <v>0</v>
      </c>
      <c r="M27" s="99">
        <f>G27/Facts!A19</f>
        <v>0</v>
      </c>
    </row>
    <row r="28" spans="1:13" s="1" customFormat="1" x14ac:dyDescent="0.2">
      <c r="B28" s="3" t="s">
        <v>135</v>
      </c>
      <c r="C28" s="4" t="s">
        <v>71</v>
      </c>
      <c r="D28" s="40">
        <v>500000</v>
      </c>
      <c r="E28" s="112"/>
      <c r="F28" s="47">
        <f>IF(C11=3000,IF(OR(C12=16,C12=32),(C8*Facts!A19/Maintenance!D28),0),0)</f>
        <v>0</v>
      </c>
      <c r="G28" s="104">
        <f t="shared" si="0"/>
        <v>0</v>
      </c>
      <c r="H28" s="48">
        <f t="shared" ref="H28:H43" si="9">F28/12</f>
        <v>0</v>
      </c>
      <c r="I28" s="104">
        <f t="shared" ref="I28" si="10">G28/12</f>
        <v>0</v>
      </c>
      <c r="J28" s="51">
        <f t="shared" si="2"/>
        <v>0</v>
      </c>
      <c r="K28" s="104">
        <f t="shared" si="3"/>
        <v>0</v>
      </c>
      <c r="L28" s="49">
        <f>F28/Facts!A19</f>
        <v>0</v>
      </c>
      <c r="M28" s="99">
        <f>G28/Facts!A19</f>
        <v>0</v>
      </c>
    </row>
    <row r="29" spans="1:13" s="1" customFormat="1" hidden="1" x14ac:dyDescent="0.2">
      <c r="B29" s="3" t="s">
        <v>136</v>
      </c>
      <c r="C29" s="4" t="s">
        <v>72</v>
      </c>
      <c r="D29" s="40">
        <v>350000</v>
      </c>
      <c r="E29" s="112"/>
      <c r="F29" s="47"/>
      <c r="G29" s="104"/>
      <c r="H29" s="48"/>
      <c r="I29" s="104"/>
      <c r="J29" s="51"/>
      <c r="K29" s="104"/>
      <c r="L29" s="49"/>
      <c r="M29" s="99"/>
    </row>
    <row r="30" spans="1:13" s="1" customFormat="1" hidden="1" x14ac:dyDescent="0.2">
      <c r="B30" s="3" t="s">
        <v>137</v>
      </c>
      <c r="C30" s="4" t="s">
        <v>73</v>
      </c>
      <c r="D30" s="40">
        <v>400000</v>
      </c>
      <c r="E30" s="112"/>
      <c r="F30" s="47">
        <f>IF(C11=1500,IF(OR(C12=17,C12=34),(C8*Facts!A19/Maintenance!D30),0),0)</f>
        <v>0</v>
      </c>
      <c r="G30" s="104">
        <f t="shared" si="0"/>
        <v>0</v>
      </c>
      <c r="H30" s="48">
        <f t="shared" si="9"/>
        <v>0</v>
      </c>
      <c r="I30" s="104">
        <f t="shared" ref="I30:I43" si="11">G30/12</f>
        <v>0</v>
      </c>
      <c r="J30" s="51">
        <f t="shared" si="2"/>
        <v>0</v>
      </c>
      <c r="K30" s="104">
        <f t="shared" si="3"/>
        <v>0</v>
      </c>
      <c r="L30" s="49">
        <f>F30/Facts!A19</f>
        <v>0</v>
      </c>
      <c r="M30" s="99">
        <f>G30/Facts!A19</f>
        <v>0</v>
      </c>
    </row>
    <row r="31" spans="1:13" s="1" customFormat="1" hidden="1" x14ac:dyDescent="0.2">
      <c r="B31" s="3" t="s">
        <v>138</v>
      </c>
      <c r="C31" s="4" t="s">
        <v>74</v>
      </c>
      <c r="D31" s="40">
        <v>500000</v>
      </c>
      <c r="E31" s="112"/>
      <c r="F31" s="47"/>
      <c r="G31" s="104"/>
      <c r="H31" s="48"/>
      <c r="I31" s="104"/>
      <c r="J31" s="51"/>
      <c r="K31" s="104"/>
      <c r="L31" s="49"/>
      <c r="M31" s="99"/>
    </row>
    <row r="32" spans="1:13" s="1" customFormat="1" hidden="1" x14ac:dyDescent="0.2">
      <c r="B32" s="3" t="s">
        <v>139</v>
      </c>
      <c r="C32" s="4" t="s">
        <v>75</v>
      </c>
      <c r="D32" s="40">
        <v>350000</v>
      </c>
      <c r="E32" s="112"/>
      <c r="F32" s="47"/>
      <c r="G32" s="104"/>
      <c r="H32" s="48"/>
      <c r="I32" s="104"/>
      <c r="J32" s="51"/>
      <c r="K32" s="104"/>
      <c r="L32" s="49"/>
      <c r="M32" s="99"/>
    </row>
    <row r="33" spans="2:17" s="1" customFormat="1" hidden="1" x14ac:dyDescent="0.2">
      <c r="B33" s="3" t="s">
        <v>140</v>
      </c>
      <c r="C33" s="4" t="s">
        <v>76</v>
      </c>
      <c r="D33" s="40">
        <v>400000</v>
      </c>
      <c r="E33" s="112"/>
      <c r="F33" s="47">
        <f>IF(C11=1500,IF(OR(C12=18,C12=36),(C8*Facts!A19/Maintenance!D33),0),0)</f>
        <v>0</v>
      </c>
      <c r="G33" s="104">
        <f t="shared" si="0"/>
        <v>0</v>
      </c>
      <c r="H33" s="48">
        <f t="shared" si="9"/>
        <v>0</v>
      </c>
      <c r="I33" s="104">
        <f t="shared" si="11"/>
        <v>0</v>
      </c>
      <c r="J33" s="51">
        <f t="shared" si="2"/>
        <v>0</v>
      </c>
      <c r="K33" s="104">
        <f t="shared" si="3"/>
        <v>0</v>
      </c>
      <c r="L33" s="49">
        <f>F33/Facts!A19</f>
        <v>0</v>
      </c>
      <c r="M33" s="99">
        <f>G33/Facts!A19</f>
        <v>0</v>
      </c>
    </row>
    <row r="34" spans="2:17" s="1" customFormat="1" hidden="1" x14ac:dyDescent="0.2">
      <c r="B34" s="3" t="s">
        <v>141</v>
      </c>
      <c r="C34" s="4" t="s">
        <v>77</v>
      </c>
      <c r="D34" s="40">
        <v>500000</v>
      </c>
      <c r="E34" s="112"/>
      <c r="F34" s="47"/>
      <c r="G34" s="104"/>
      <c r="H34" s="48"/>
      <c r="I34" s="104"/>
      <c r="J34" s="51"/>
      <c r="K34" s="104"/>
      <c r="L34" s="49"/>
      <c r="M34" s="99"/>
    </row>
    <row r="35" spans="2:17" s="1" customFormat="1" x14ac:dyDescent="0.2">
      <c r="B35" s="3" t="s">
        <v>153</v>
      </c>
      <c r="C35" s="4" t="s">
        <v>78</v>
      </c>
      <c r="D35" s="40">
        <v>350000</v>
      </c>
      <c r="E35" s="112"/>
      <c r="F35" s="47">
        <f>IF(C11=800,IF(C12=20,(C8*Facts!A19/Maintenance!D35),0),0)</f>
        <v>0</v>
      </c>
      <c r="G35" s="104">
        <f t="shared" si="0"/>
        <v>0</v>
      </c>
      <c r="H35" s="48">
        <f t="shared" si="9"/>
        <v>0</v>
      </c>
      <c r="I35" s="104">
        <f t="shared" si="11"/>
        <v>0</v>
      </c>
      <c r="J35" s="51">
        <f>F35/52</f>
        <v>0</v>
      </c>
      <c r="K35" s="104">
        <f t="shared" si="3"/>
        <v>0</v>
      </c>
      <c r="L35" s="49">
        <f>F35/Facts!A19</f>
        <v>0</v>
      </c>
      <c r="M35" s="99">
        <f>G35/Facts!A19</f>
        <v>0</v>
      </c>
    </row>
    <row r="36" spans="2:17" s="1" customFormat="1" x14ac:dyDescent="0.2">
      <c r="B36" s="3" t="s">
        <v>154</v>
      </c>
      <c r="C36" s="4" t="s">
        <v>57</v>
      </c>
      <c r="D36" s="40">
        <v>400000</v>
      </c>
      <c r="E36" s="112"/>
      <c r="F36" s="47">
        <f>IF(C11=1500,IF(C12=20,(C8*Facts!A19/Maintenance!D36),0),0)</f>
        <v>6.5</v>
      </c>
      <c r="G36" s="104">
        <f t="shared" si="0"/>
        <v>0</v>
      </c>
      <c r="H36" s="48">
        <f t="shared" si="9"/>
        <v>0.54166666666666663</v>
      </c>
      <c r="I36" s="104">
        <f t="shared" si="11"/>
        <v>0</v>
      </c>
      <c r="J36" s="51">
        <f t="shared" si="2"/>
        <v>0.125</v>
      </c>
      <c r="K36" s="104">
        <f t="shared" si="3"/>
        <v>0</v>
      </c>
      <c r="L36" s="49">
        <f>F36/Facts!A19</f>
        <v>0.125</v>
      </c>
      <c r="M36" s="99">
        <f>G36/Facts!A19</f>
        <v>0</v>
      </c>
    </row>
    <row r="37" spans="2:17" s="1" customFormat="1" x14ac:dyDescent="0.2">
      <c r="B37" s="3" t="s">
        <v>155</v>
      </c>
      <c r="C37" s="4" t="s">
        <v>58</v>
      </c>
      <c r="D37" s="40">
        <v>500000</v>
      </c>
      <c r="E37" s="112"/>
      <c r="F37" s="47">
        <f>IF(C11=3000,IF(C12=20,(C8*Facts!A19/Maintenance!D37),0),0)</f>
        <v>0</v>
      </c>
      <c r="G37" s="104">
        <f t="shared" si="0"/>
        <v>0</v>
      </c>
      <c r="H37" s="48">
        <f t="shared" si="9"/>
        <v>0</v>
      </c>
      <c r="I37" s="104">
        <f t="shared" si="11"/>
        <v>0</v>
      </c>
      <c r="J37" s="51">
        <f t="shared" si="2"/>
        <v>0</v>
      </c>
      <c r="K37" s="104">
        <f t="shared" si="3"/>
        <v>0</v>
      </c>
      <c r="L37" s="49">
        <f>F37/Facts!A19</f>
        <v>0</v>
      </c>
      <c r="M37" s="99">
        <f>G37/Facts!A19</f>
        <v>0</v>
      </c>
    </row>
    <row r="38" spans="2:17" s="1" customFormat="1" x14ac:dyDescent="0.2">
      <c r="B38" s="3" t="s">
        <v>156</v>
      </c>
      <c r="C38" s="4" t="s">
        <v>78</v>
      </c>
      <c r="D38" s="40">
        <v>375000</v>
      </c>
      <c r="E38" s="112"/>
      <c r="F38" s="47">
        <f>IF(C13=800,IF(C14=20,(C8*Facts!A21/Maintenance!D38),0),0)</f>
        <v>0</v>
      </c>
      <c r="G38" s="104">
        <f t="shared" si="0"/>
        <v>0</v>
      </c>
      <c r="H38" s="48">
        <f t="shared" si="9"/>
        <v>0</v>
      </c>
      <c r="I38" s="104">
        <f t="shared" si="11"/>
        <v>0</v>
      </c>
      <c r="J38" s="51">
        <f t="shared" si="2"/>
        <v>0</v>
      </c>
      <c r="K38" s="104">
        <f t="shared" si="3"/>
        <v>0</v>
      </c>
      <c r="L38" s="49">
        <f>IF(ISERROR(F38/Facts!A21),0,F38/Facts!A21)</f>
        <v>0</v>
      </c>
      <c r="M38" s="99">
        <f>IF(ISERROR(G26/Facts!A21),0,G38/Facts!A19)</f>
        <v>0</v>
      </c>
    </row>
    <row r="39" spans="2:17" s="1" customFormat="1" x14ac:dyDescent="0.2">
      <c r="B39" s="3" t="s">
        <v>157</v>
      </c>
      <c r="C39" s="4" t="s">
        <v>57</v>
      </c>
      <c r="D39" s="40">
        <v>425000</v>
      </c>
      <c r="E39" s="112"/>
      <c r="F39" s="47">
        <f>IF(C13=1500,IF(C14=20,(C8*Facts!A21/Maintenance!D39),0),0)</f>
        <v>0</v>
      </c>
      <c r="G39" s="104">
        <f t="shared" si="0"/>
        <v>0</v>
      </c>
      <c r="H39" s="48">
        <f t="shared" si="9"/>
        <v>0</v>
      </c>
      <c r="I39" s="104">
        <f t="shared" si="11"/>
        <v>0</v>
      </c>
      <c r="J39" s="51">
        <f t="shared" si="2"/>
        <v>0</v>
      </c>
      <c r="K39" s="104">
        <f t="shared" ref="K39" si="12">G39/52</f>
        <v>0</v>
      </c>
      <c r="L39" s="49">
        <f>IF(ISERROR(F39/Facts!A22),0,F39/Facts!A22)</f>
        <v>0</v>
      </c>
      <c r="M39" s="99">
        <f>IF(ISERROR(G39/Facts!A19),0,G39/Facts!A19)</f>
        <v>0</v>
      </c>
    </row>
    <row r="40" spans="2:17" s="1" customFormat="1" ht="45" hidden="1" x14ac:dyDescent="0.2">
      <c r="B40" s="3" t="s">
        <v>159</v>
      </c>
      <c r="C40" s="4" t="s">
        <v>58</v>
      </c>
      <c r="D40" s="40">
        <v>525000</v>
      </c>
      <c r="E40" s="112"/>
      <c r="F40" s="47">
        <f>IF(C13=3000,IF(C14=20,(C8*Facts!A21/Maintenance!D40),0),0)</f>
        <v>0</v>
      </c>
      <c r="G40" s="104">
        <f t="shared" si="0"/>
        <v>0</v>
      </c>
      <c r="H40" s="48">
        <f t="shared" si="9"/>
        <v>0</v>
      </c>
      <c r="I40" s="104">
        <f t="shared" si="11"/>
        <v>0</v>
      </c>
      <c r="J40" s="51">
        <f t="shared" si="2"/>
        <v>0</v>
      </c>
      <c r="K40" s="104">
        <f t="shared" ref="K40:K45" si="13">G40/52</f>
        <v>0</v>
      </c>
      <c r="L40" s="49">
        <f>IF(ISERROR(F40/Facts!A23),0,F40/Facts!A23)</f>
        <v>0</v>
      </c>
      <c r="M40" s="99">
        <f>IF(ISERROR(G40/Facts!A19),0,G40/Facts!A19)</f>
        <v>0</v>
      </c>
      <c r="Q40" s="3" t="s">
        <v>158</v>
      </c>
    </row>
    <row r="41" spans="2:17" s="1" customFormat="1" hidden="1" x14ac:dyDescent="0.2">
      <c r="B41" s="3" t="s">
        <v>142</v>
      </c>
      <c r="C41" s="4" t="s">
        <v>59</v>
      </c>
      <c r="D41" s="40">
        <v>350000</v>
      </c>
      <c r="E41" s="112"/>
      <c r="F41" s="47">
        <f>IF(C13=800,IF(C14=27,(C8*Facts!A21/Maintenance!D41),0),0)</f>
        <v>0</v>
      </c>
      <c r="G41" s="104">
        <f t="shared" si="0"/>
        <v>0</v>
      </c>
      <c r="H41" s="48">
        <f t="shared" si="9"/>
        <v>0</v>
      </c>
      <c r="I41" s="104">
        <f t="shared" si="11"/>
        <v>0</v>
      </c>
      <c r="J41" s="51">
        <f t="shared" si="2"/>
        <v>0</v>
      </c>
      <c r="K41" s="104">
        <f t="shared" si="13"/>
        <v>0</v>
      </c>
      <c r="L41" s="49">
        <f>IF(ISERROR(F41/Facts!A24),0,F41/Facts!A24)</f>
        <v>0</v>
      </c>
      <c r="M41" s="99">
        <f>IF(ISERROR(G41/Facts!A19),0,G41/Facts!A19)</f>
        <v>0</v>
      </c>
    </row>
    <row r="42" spans="2:17" s="1" customFormat="1" x14ac:dyDescent="0.2">
      <c r="B42" s="3" t="s">
        <v>128</v>
      </c>
      <c r="C42" s="4" t="s">
        <v>60</v>
      </c>
      <c r="D42" s="40">
        <v>400000</v>
      </c>
      <c r="E42" s="112"/>
      <c r="F42" s="47">
        <f>IF(C13=1500,IF(C14=27,(C8*Facts!A21/Maintenance!D42),0),0)</f>
        <v>0</v>
      </c>
      <c r="G42" s="104">
        <f t="shared" si="0"/>
        <v>0</v>
      </c>
      <c r="H42" s="48">
        <f t="shared" si="9"/>
        <v>0</v>
      </c>
      <c r="I42" s="104">
        <f t="shared" si="11"/>
        <v>0</v>
      </c>
      <c r="J42" s="51">
        <f t="shared" si="2"/>
        <v>0</v>
      </c>
      <c r="K42" s="104">
        <f t="shared" si="13"/>
        <v>0</v>
      </c>
      <c r="L42" s="49">
        <f>IF(ISERROR(F42/Facts!A25),0,F42/Facts!A25)</f>
        <v>0</v>
      </c>
      <c r="M42" s="99">
        <f>IF(ISERROR(G42/Facts!A19),0,G42/Facts!A19)</f>
        <v>0</v>
      </c>
    </row>
    <row r="43" spans="2:17" s="1" customFormat="1" x14ac:dyDescent="0.2">
      <c r="B43" s="3" t="s">
        <v>129</v>
      </c>
      <c r="C43" s="4" t="s">
        <v>61</v>
      </c>
      <c r="D43" s="40">
        <v>500000</v>
      </c>
      <c r="E43" s="112"/>
      <c r="F43" s="47">
        <f>IF(C13=3000,IF(C14=27,(C8*Facts!A21/Maintenance!D43),0),0)</f>
        <v>0</v>
      </c>
      <c r="G43" s="104">
        <f t="shared" si="0"/>
        <v>0</v>
      </c>
      <c r="H43" s="48">
        <f t="shared" si="9"/>
        <v>0</v>
      </c>
      <c r="I43" s="104">
        <f t="shared" si="11"/>
        <v>0</v>
      </c>
      <c r="J43" s="51">
        <f t="shared" si="2"/>
        <v>0</v>
      </c>
      <c r="K43" s="104">
        <f t="shared" si="13"/>
        <v>0</v>
      </c>
      <c r="L43" s="49">
        <f>IF(ISERROR(F43/Facts!A26),0,F43/Facts!A26)</f>
        <v>0</v>
      </c>
      <c r="M43" s="99">
        <f>IF(ISERROR(G43/Facts!A19),0,G43/Facts!A19)</f>
        <v>0</v>
      </c>
    </row>
    <row r="44" spans="2:17" s="1" customFormat="1" x14ac:dyDescent="0.2">
      <c r="B44" s="3" t="s">
        <v>147</v>
      </c>
      <c r="C44" s="4" t="s">
        <v>60</v>
      </c>
      <c r="D44" s="40">
        <v>400000</v>
      </c>
      <c r="E44" s="112"/>
      <c r="F44" s="47">
        <f>IF(C13=1500,IF(C14=27,(C8*Facts!A21/Maintenance!D44),0),0)</f>
        <v>0</v>
      </c>
      <c r="G44" s="104">
        <f t="shared" ref="G44:G45" si="14">F44*E44</f>
        <v>0</v>
      </c>
      <c r="H44" s="48">
        <f t="shared" ref="H44:H45" si="15">F44/12</f>
        <v>0</v>
      </c>
      <c r="I44" s="104">
        <f t="shared" ref="I44:I45" si="16">G44/12</f>
        <v>0</v>
      </c>
      <c r="J44" s="51">
        <f t="shared" ref="J44:J45" si="17">F44/52</f>
        <v>0</v>
      </c>
      <c r="K44" s="104">
        <f t="shared" si="13"/>
        <v>0</v>
      </c>
      <c r="L44" s="49">
        <f>IF(ISERROR(F44/Facts!A27),0,F44/Facts!A27)</f>
        <v>0</v>
      </c>
      <c r="M44" s="99">
        <f>IF(ISERROR(G44/Facts!A19),0,G44/Facts!A19)</f>
        <v>0</v>
      </c>
    </row>
    <row r="45" spans="2:17" s="1" customFormat="1" ht="16" thickBot="1" x14ac:dyDescent="0.25">
      <c r="B45" s="3" t="s">
        <v>148</v>
      </c>
      <c r="C45" s="4" t="s">
        <v>61</v>
      </c>
      <c r="D45" s="40">
        <v>500000</v>
      </c>
      <c r="E45" s="112"/>
      <c r="F45" s="47">
        <f>IF(C13=3000,IF(C14=27,(C8*Facts!A21/Maintenance!D45),0),0)</f>
        <v>0</v>
      </c>
      <c r="G45" s="105">
        <f t="shared" si="14"/>
        <v>0</v>
      </c>
      <c r="H45" s="48">
        <f t="shared" si="15"/>
        <v>0</v>
      </c>
      <c r="I45" s="105">
        <f t="shared" si="16"/>
        <v>0</v>
      </c>
      <c r="J45" s="51">
        <f t="shared" si="17"/>
        <v>0</v>
      </c>
      <c r="K45" s="105">
        <f t="shared" si="13"/>
        <v>0</v>
      </c>
      <c r="L45" s="49">
        <f>IF(ISERROR(F45/Facts!A28),0,F45/Facts!A28)</f>
        <v>0</v>
      </c>
      <c r="M45" s="108">
        <f>IF(ISERROR(G45/Facts!A19),0,G45/Facts!A19)</f>
        <v>0</v>
      </c>
    </row>
    <row r="46" spans="2:17" ht="16" thickBot="1" x14ac:dyDescent="0.25">
      <c r="B46" s="18" t="s">
        <v>39</v>
      </c>
      <c r="C46" s="16"/>
      <c r="D46" s="41"/>
      <c r="E46" s="50"/>
      <c r="F46" s="50"/>
      <c r="G46" s="106">
        <f>SUM(G22:G45)</f>
        <v>0</v>
      </c>
      <c r="H46" s="72"/>
      <c r="I46" s="106">
        <f>SUM(I22:I45)</f>
        <v>0</v>
      </c>
      <c r="J46" s="50"/>
      <c r="K46" s="106">
        <f>SUM(K22:K45)</f>
        <v>0</v>
      </c>
      <c r="L46" s="50"/>
      <c r="M46" s="107">
        <f>SUM(M22:M45)</f>
        <v>0</v>
      </c>
    </row>
    <row r="48" spans="2:17" x14ac:dyDescent="0.2">
      <c r="M48" s="62" t="s">
        <v>160</v>
      </c>
    </row>
  </sheetData>
  <sheetProtection selectLockedCells="1"/>
  <mergeCells count="3">
    <mergeCell ref="B3:M3"/>
    <mergeCell ref="B4:M4"/>
    <mergeCell ref="B2:M2"/>
  </mergeCells>
  <phoneticPr fontId="9" type="noConversion"/>
  <pageMargins left="0.7" right="0.7" top="0.75" bottom="0.75" header="0.3" footer="0.3"/>
  <pageSetup scale="60" orientation="landscape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Facts!$G$5:$G$7</xm:f>
          </x14:formula1>
          <xm:sqref>C11 C13</xm:sqref>
        </x14:dataValidation>
        <x14:dataValidation type="list" allowBlank="1" showInputMessage="1" showErrorMessage="1">
          <x14:formula1>
            <xm:f>Facts!$F$2:$F$10</xm:f>
          </x14:formula1>
          <xm:sqref>C12</xm:sqref>
        </x14:dataValidation>
        <x14:dataValidation type="list" allowBlank="1" showInputMessage="1" showErrorMessage="1">
          <x14:formula1>
            <xm:f>Facts!$E$8:$E$9</xm:f>
          </x14:formula1>
          <xm:sqref>C14</xm:sqref>
        </x14:dataValidation>
        <x14:dataValidation type="list" allowBlank="1" showInputMessage="1" showErrorMessage="1">
          <x14:formula1>
            <xm:f>Facts!$G$11:$G$13</xm:f>
          </x14:formula1>
          <xm:sqref>D9:D10</xm:sqref>
        </x14:dataValidation>
        <x14:dataValidation type="list" allowBlank="1" showInputMessage="1" showErrorMessage="1">
          <x14:formula1>
            <xm:f>Facts!$C$5:$C$16</xm:f>
          </x14:formula1>
          <xm:sqref>C9</xm:sqref>
        </x14:dataValidation>
        <x14:dataValidation type="list" allowBlank="1" showInputMessage="1" showErrorMessage="1">
          <x14:formula1>
            <xm:f>Facts!$C$4:$C$16</xm:f>
          </x14:formula1>
          <xm:sqref>C10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Facts</vt:lpstr>
      <vt:lpstr>Foundation</vt:lpstr>
      <vt:lpstr>Maintenance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 Cortes</dc:creator>
  <cp:lastModifiedBy>Microsoft Office User</cp:lastModifiedBy>
  <cp:lastPrinted>2019-02-05T15:02:55Z</cp:lastPrinted>
  <dcterms:created xsi:type="dcterms:W3CDTF">2018-07-18T20:06:00Z</dcterms:created>
  <dcterms:modified xsi:type="dcterms:W3CDTF">2019-02-21T15:38:06Z</dcterms:modified>
</cp:coreProperties>
</file>